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сновний штатний розпис " sheetId="1" r:id="rId1"/>
    <sheet name="Профіль ліжок" sheetId="2" r:id="rId2"/>
    <sheet name="Зубопротезна лабораторія" sheetId="3" r:id="rId3"/>
    <sheet name="Спецрахунок" sheetId="4" r:id="rId4"/>
  </sheets>
  <definedNames>
    <definedName name="_xlnm.Print_Area" localSheetId="2">'Зубопротезна лабораторія'!$A$1:$I$30</definedName>
    <definedName name="_xlnm.Print_Area" localSheetId="0">'Основний штатний розпис '!$A$1:$L$402</definedName>
    <definedName name="_xlnm.Print_Area" localSheetId="1">'Профіль ліжок'!$A$1:$S$21</definedName>
    <definedName name="_xlnm.Print_Area" localSheetId="3">'Спецрахунок'!$A$1:$H$50</definedName>
  </definedNames>
  <calcPr fullCalcOnLoad="1"/>
</workbook>
</file>

<file path=xl/comments1.xml><?xml version="1.0" encoding="utf-8"?>
<comments xmlns="http://schemas.openxmlformats.org/spreadsheetml/2006/main">
  <authors>
    <author>Zettron</author>
    <author>Admin</author>
  </authors>
  <commentList>
    <comment ref="M378" authorId="0">
      <text>
        <r>
          <rPr>
            <b/>
            <sz val="9"/>
            <rFont val="Tahoma"/>
            <family val="2"/>
          </rPr>
          <t>Zettron:</t>
        </r>
        <r>
          <rPr>
            <sz val="9"/>
            <rFont val="Tahoma"/>
            <family val="2"/>
          </rPr>
          <t xml:space="preserve">
звіл.</t>
        </r>
      </text>
    </comment>
    <comment ref="M379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декрет Гапоненко</t>
        </r>
      </text>
    </comment>
  </commentList>
</comments>
</file>

<file path=xl/sharedStrings.xml><?xml version="1.0" encoding="utf-8"?>
<sst xmlns="http://schemas.openxmlformats.org/spreadsheetml/2006/main" count="454" uniqueCount="259">
  <si>
    <t xml:space="preserve">           </t>
  </si>
  <si>
    <t>Посади</t>
  </si>
  <si>
    <t>Кількість штатних одиниць</t>
  </si>
  <si>
    <t>Тарифний розряд</t>
  </si>
  <si>
    <t>Посадовий оклад</t>
  </si>
  <si>
    <t>Підвищення посадового окладу</t>
  </si>
  <si>
    <t>Доплати</t>
  </si>
  <si>
    <t xml:space="preserve">Надбавки </t>
  </si>
  <si>
    <t xml:space="preserve">Інженер з охорони праці  </t>
  </si>
  <si>
    <t>Інспектор з кадрів</t>
  </si>
  <si>
    <t>Інженер-програміст</t>
  </si>
  <si>
    <t>У зв’язку зі шкідливими і важкими умовами праці 15%, 25%, 30%</t>
  </si>
  <si>
    <t>Оперативні втручання</t>
  </si>
  <si>
    <t>Шкідливі умови праці 12% деззасоби</t>
  </si>
  <si>
    <t>Тривал.безперевної роботи, вислуга років, класність,за почес. звання</t>
  </si>
  <si>
    <t>Всього:</t>
  </si>
  <si>
    <t>Лікар-педіатр</t>
  </si>
  <si>
    <t xml:space="preserve"> </t>
  </si>
  <si>
    <t>-//-</t>
  </si>
  <si>
    <t>Лікар-акушер-гінеколог</t>
  </si>
  <si>
    <t>Лікар-офтальмолог</t>
  </si>
  <si>
    <t>Лікар-отоларинголог</t>
  </si>
  <si>
    <t xml:space="preserve">  </t>
  </si>
  <si>
    <t>Лікар-невропатолог</t>
  </si>
  <si>
    <t>Лікар-хірург</t>
  </si>
  <si>
    <t>Лікар-хірург для надання ургентної допомоги</t>
  </si>
  <si>
    <t>Лікар-анестезіолог</t>
  </si>
  <si>
    <t>Лікар-терапевт</t>
  </si>
  <si>
    <t>Лікар-уролог</t>
  </si>
  <si>
    <t>Лікар-дерматовенеролог</t>
  </si>
  <si>
    <t>Лікар з ультразвукової діагностики</t>
  </si>
  <si>
    <t>Лікар ортопед-травматолог</t>
  </si>
  <si>
    <t>Реєстратор медичний</t>
  </si>
  <si>
    <t>Лікар-стоматолог-хірург</t>
  </si>
  <si>
    <t>Лікар-стоматолог</t>
  </si>
  <si>
    <t>Біохімік</t>
  </si>
  <si>
    <t>Лаборант</t>
  </si>
  <si>
    <t>Всього</t>
  </si>
  <si>
    <t xml:space="preserve">                   Всього: </t>
  </si>
  <si>
    <t xml:space="preserve">                Всього:</t>
  </si>
  <si>
    <t>Головний бухгалтер</t>
  </si>
  <si>
    <t>Заступник головного бухгалтера</t>
  </si>
  <si>
    <t>Бухгалтер</t>
  </si>
  <si>
    <t>Оператор пральн машин (стац.)</t>
  </si>
  <si>
    <t>Слюсар-сантехнік</t>
  </si>
  <si>
    <t>Кухонний робітник</t>
  </si>
  <si>
    <t>Візник</t>
  </si>
  <si>
    <t>Водій санітарного автомобіля</t>
  </si>
  <si>
    <t>Прибиральник службових приміщень</t>
  </si>
  <si>
    <t>Ліфтер</t>
  </si>
  <si>
    <t>Лікар-ендоскопіст</t>
  </si>
  <si>
    <t>Дезінфектор</t>
  </si>
  <si>
    <t>В т.ч. лікарський персонал -</t>
  </si>
  <si>
    <t>середній медперсонал -</t>
  </si>
  <si>
    <t>молодший медперсонал -</t>
  </si>
  <si>
    <t>спеціаліст з вищою освітою -</t>
  </si>
  <si>
    <t xml:space="preserve">ВСЬОГО - </t>
  </si>
  <si>
    <t>Середні -</t>
  </si>
  <si>
    <t>Інші -</t>
  </si>
  <si>
    <t>Лікарі-</t>
  </si>
  <si>
    <t>Середні-</t>
  </si>
  <si>
    <t>молодші-</t>
  </si>
  <si>
    <t>Молодші-</t>
  </si>
  <si>
    <t>середні-</t>
  </si>
  <si>
    <t>Лікарі</t>
  </si>
  <si>
    <t>Середні</t>
  </si>
  <si>
    <t>Молодші</t>
  </si>
  <si>
    <t>Лікарі -</t>
  </si>
  <si>
    <t>Молодші -</t>
  </si>
  <si>
    <t xml:space="preserve">середні – </t>
  </si>
  <si>
    <t xml:space="preserve">молодші – </t>
  </si>
  <si>
    <t xml:space="preserve">спеціаліст з вищою освітою – </t>
  </si>
  <si>
    <t xml:space="preserve">Лікарі – </t>
  </si>
  <si>
    <t>Середні –</t>
  </si>
  <si>
    <t>Робітник з обслуговув. і поточ. ремон. споруд, будів і обладнан.</t>
  </si>
  <si>
    <t>Іншій персонал</t>
  </si>
  <si>
    <t>Інші-</t>
  </si>
  <si>
    <t>За кваліфік. категорію, завідування, старшинство, санітарний транспорт</t>
  </si>
  <si>
    <t>Фонд заробітної плати на місяць</t>
  </si>
  <si>
    <t>інший персонал  -</t>
  </si>
  <si>
    <t>Надбавка</t>
  </si>
  <si>
    <t>Фонд з/плати на місяць</t>
  </si>
  <si>
    <t>Вислуга років</t>
  </si>
  <si>
    <t>Лікар-рентгенолог</t>
  </si>
  <si>
    <t>Лікар - нарколог</t>
  </si>
  <si>
    <t>Спеціаліст з вищою не мед.освітою -</t>
  </si>
  <si>
    <t>Кухар, який працює біля плити 4 розр.</t>
  </si>
  <si>
    <t>Кухар, який працює біля плити 3 розр.</t>
  </si>
  <si>
    <t xml:space="preserve">Лікар ортопед-травматолог </t>
  </si>
  <si>
    <t>Бібліотекар</t>
  </si>
  <si>
    <t>Лікар-ендокринолог</t>
  </si>
  <si>
    <t xml:space="preserve">                             Посади</t>
  </si>
  <si>
    <t xml:space="preserve">                                </t>
  </si>
  <si>
    <t>Лікар стоматолог-ортопед</t>
  </si>
  <si>
    <r>
      <t xml:space="preserve">  </t>
    </r>
    <r>
      <rPr>
        <b/>
        <sz val="12"/>
        <rFont val="Times New Roman"/>
        <family val="1"/>
      </rPr>
      <t>ВСЬОГО</t>
    </r>
    <r>
      <rPr>
        <sz val="12"/>
        <rFont val="Times New Roman"/>
        <family val="1"/>
      </rPr>
      <t>:</t>
    </r>
  </si>
  <si>
    <t>Лікарі- 1,0</t>
  </si>
  <si>
    <t>Середні- 1,0</t>
  </si>
  <si>
    <t xml:space="preserve">                                                                   </t>
  </si>
  <si>
    <t>Молодші- 1,0</t>
  </si>
  <si>
    <t>лікар</t>
  </si>
  <si>
    <t>Лікар- рентгенолог</t>
  </si>
  <si>
    <t>Секретар</t>
  </si>
  <si>
    <t>неврологічних</t>
  </si>
  <si>
    <t xml:space="preserve">Провідний бухгалтер </t>
  </si>
  <si>
    <t>Завідувач складом</t>
  </si>
  <si>
    <t xml:space="preserve"> хірургічних</t>
  </si>
  <si>
    <t xml:space="preserve"> офтальмол.</t>
  </si>
  <si>
    <t xml:space="preserve"> отоларингол.</t>
  </si>
  <si>
    <t xml:space="preserve"> гінекологічні</t>
  </si>
  <si>
    <t xml:space="preserve"> травматологічні</t>
  </si>
  <si>
    <t xml:space="preserve"> урологічні</t>
  </si>
  <si>
    <t>терапевтичних</t>
  </si>
  <si>
    <t>кардіологічних</t>
  </si>
  <si>
    <t>дорослі</t>
  </si>
  <si>
    <t>дитячі</t>
  </si>
  <si>
    <t>Лікар з функціональної діагностики</t>
  </si>
  <si>
    <t xml:space="preserve">Рентгенолаборант </t>
  </si>
  <si>
    <t>Рентгенолаборант для надання екстреної допомоги</t>
  </si>
  <si>
    <t>У зв'язку зі шкідлив.умов. праці 15%</t>
  </si>
  <si>
    <t>Рентгенолаборант</t>
  </si>
  <si>
    <t>Фонд з/пл. на місяць</t>
  </si>
  <si>
    <t xml:space="preserve"> В т.ч. - 6 ліжок інтенсивної терапії</t>
  </si>
  <si>
    <t>Лікар-кардіолог</t>
  </si>
  <si>
    <t>Електрогазозварник 4 розряду</t>
  </si>
  <si>
    <t>Лікар-фізіотерапевт</t>
  </si>
  <si>
    <t>Завідувач відділенням, лікар-невропатолог</t>
  </si>
  <si>
    <t>Завідувач господарством</t>
  </si>
  <si>
    <t>Прибиральник території</t>
  </si>
  <si>
    <t>дитячих</t>
  </si>
  <si>
    <t>Генеральний директор</t>
  </si>
  <si>
    <t>Медичний директор</t>
  </si>
  <si>
    <t xml:space="preserve">Лаборант </t>
  </si>
  <si>
    <t xml:space="preserve">1. Апарат управління </t>
  </si>
  <si>
    <t>2. Автоклавна</t>
  </si>
  <si>
    <t>3. Відділення переливання крові</t>
  </si>
  <si>
    <t>5. Клініко-діагностична лабораторія</t>
  </si>
  <si>
    <t xml:space="preserve">                                                                                                                                       6. Поліклінічне  відділення</t>
  </si>
  <si>
    <t>7. Приймально-діагностичне відділення</t>
  </si>
  <si>
    <t xml:space="preserve">Стаціонарні відділення:                                                                                               </t>
  </si>
  <si>
    <t>4. Господарська частина</t>
  </si>
  <si>
    <t>Лікар-стоматолог дитячий</t>
  </si>
  <si>
    <t>Лікар- хірург</t>
  </si>
  <si>
    <t>Лікар-лаборант</t>
  </si>
  <si>
    <t>Лікар-інтерн за спеціальністю "Хірургія"</t>
  </si>
  <si>
    <t>Лікар-інтерн за спеціальністю "Внутрішні хвороби"</t>
  </si>
  <si>
    <t>Сестра медична (брат медичний)</t>
  </si>
  <si>
    <t>Молодша медична сестра (молодший медичний брат) (санітарка, санітар)</t>
  </si>
  <si>
    <t>Сестра медична операційна (брат медичний операційний)</t>
  </si>
  <si>
    <t>Акушерка (акушер)</t>
  </si>
  <si>
    <t>Сестра медична (брат медичний) зі стоматології</t>
  </si>
  <si>
    <t>Сестра медична (брат медичний) з лікувальної фізкультури</t>
  </si>
  <si>
    <t>Сестра медична (брат медичний) з функціональної діагностики</t>
  </si>
  <si>
    <t>Сестра медична (брат медичний) з дієтичного харчування</t>
  </si>
  <si>
    <t>Електромонтер з ремонту та обслуговуван-ня електроустаткування</t>
  </si>
  <si>
    <t>Завідувач лабораторією,біолог</t>
  </si>
  <si>
    <t>Лікар-інфекціоніст кабінету профілактики та лікування хворих на ВІЛ-інфекцію/СНІД полікл.від.</t>
  </si>
  <si>
    <t>Лікар-фтизіатр туберкульозного кабінету</t>
  </si>
  <si>
    <t>Рентгенолаборант флюорографа</t>
  </si>
  <si>
    <t>Молодша медична сестра ( молодший медичний брат) з догляду за хворими</t>
  </si>
  <si>
    <t>Сестра медична (брат медичний) стаціонару</t>
  </si>
  <si>
    <t>Завідувач відділенням, лікар-хірург</t>
  </si>
  <si>
    <t>Лікар-ортопед-травматолог для надання ургентної допомоги</t>
  </si>
  <si>
    <t>Завідувач віділенням, лікар-анестезіолог</t>
  </si>
  <si>
    <t>Лікар-стоматолог-терапевт</t>
  </si>
  <si>
    <t>Молодші - 0,25</t>
  </si>
  <si>
    <t>Лікарі   -   3,5</t>
  </si>
  <si>
    <t>Середні  - 2,75</t>
  </si>
  <si>
    <t>Штат в кількості 6,5 штатних одиниць</t>
  </si>
  <si>
    <t xml:space="preserve">Статистик медичний </t>
  </si>
  <si>
    <t>Сестра медична старша (брат медичний старший)</t>
  </si>
  <si>
    <t xml:space="preserve">Сестра медична процедурна (брат медичний процедурний) </t>
  </si>
  <si>
    <t>Сестра медична (брат медичний) кабінету з ультразвукової дігностики</t>
  </si>
  <si>
    <t>Сестра медична (брат медичний) поліклініки дерматовенерологічного кабінету</t>
  </si>
  <si>
    <t>Сестра медична (брат медичний) поліклініки психіатричного кабінету</t>
  </si>
  <si>
    <t>Сестра медична (брат медичний) поліклініки туберкульозного кабінету</t>
  </si>
  <si>
    <t>Сестра медична (брат медичний) поліклініки</t>
  </si>
  <si>
    <t>Сестра медична (брат медичний) хірургічного кабінету</t>
  </si>
  <si>
    <t>Сестра медична перев'язувальна (брат медичний перев'язувальний) хірургічного кабінету</t>
  </si>
  <si>
    <t>Сестра медична (брат медичний) кабінету профілактики та лікування хворих на ВІЛ-інфекцію/СНІД</t>
  </si>
  <si>
    <t>Сестра медична (брат медичний) поліклініки ендоскопічного кабінету</t>
  </si>
  <si>
    <t>Молодша медична сестра (молодший медичний брат) (санітарка, санітар) лікарського кабінету</t>
  </si>
  <si>
    <t xml:space="preserve">Молодша медична сестра (молодший медичний брат) (санітарка, санітар) </t>
  </si>
  <si>
    <t>Сестра медична (брат медичний) з масажу</t>
  </si>
  <si>
    <t>Головна медична сестра (головний медичний брат) лікарні</t>
  </si>
  <si>
    <t>Лікар-інфекціоніст  (для обслуговування дорослого населення)</t>
  </si>
  <si>
    <t>Молодша медична сестра (молодший медичний брат) з догляду  за хворими</t>
  </si>
  <si>
    <t>Молодша медична сестра (молодший медичний брат) (санітарка-буфетниця, санітар-буфетник)</t>
  </si>
  <si>
    <t>Сестра медична операційна  (брат медичний операційний) для надання ургентної допомоги</t>
  </si>
  <si>
    <t>Сестра медична перев’язувальна (брат медичний перев'язувальний)</t>
  </si>
  <si>
    <t>Сестра медична процедурна (брат медичний процедурний)</t>
  </si>
  <si>
    <t>Молодша медична сестра (молодший медичний брат) (санітарка перев’язувальна, санітар перев'язувальний)</t>
  </si>
  <si>
    <t>Молодша медична сестра (молодший медичний брат) (санітарка операційна, санітар операційний)</t>
  </si>
  <si>
    <t>Сестра медична-анестезист (брат медичний-анестезист)</t>
  </si>
  <si>
    <t>Сестра медична (брат медичний) наркологічного кабінету</t>
  </si>
  <si>
    <t>Сестра медична (брат медичний) психіатричного кабінету</t>
  </si>
  <si>
    <t>Сестра медична (брат медичний) дерматологічного кабінету</t>
  </si>
  <si>
    <t>Сестра медична (брат медичний) лікарського кабінету поліклініки</t>
  </si>
  <si>
    <t>поліклінічного відділення</t>
  </si>
  <si>
    <t>наркологічного кабінету</t>
  </si>
  <si>
    <t>Лікар-нарколог поліклініки</t>
  </si>
  <si>
    <t>Лікар-психіатр поліклініки</t>
  </si>
  <si>
    <t>психіатричного кабінету</t>
  </si>
  <si>
    <t>Інженер з метрології</t>
  </si>
  <si>
    <t>Завідувач поліклінічним відділенням</t>
  </si>
  <si>
    <t>Фахівець з публічних закупівель</t>
  </si>
  <si>
    <t xml:space="preserve">Сестра медична (брат медичний) з фізіотерапії </t>
  </si>
  <si>
    <t>Лікар- психіатр</t>
  </si>
  <si>
    <t>1. Інфекційне відділення на 55 ліжок, у тому числі 4 дитячих</t>
  </si>
  <si>
    <t xml:space="preserve">                                                      2. Терапевтичне відділення змішаного типу на 37 ліжок: 8 терапевтичних, 6 кардіологічних, 13 неврологічних, 10 дитячих</t>
  </si>
  <si>
    <t xml:space="preserve">     3.  Хірургічне відділення змішаного типу на 18 ліжок: 7 хірургічних, 1 отоларингологічне, 5 гінекологічних, 4 травматологічних, 1 урологічне                                                                           </t>
  </si>
  <si>
    <t xml:space="preserve">                                                                                                            4. Відділення анестезіології з ліжками інтенсивної терапії на 6 ліжок</t>
  </si>
  <si>
    <t>з місячним фондом заробітної плати  - 38052 грн. 24 коп.</t>
  </si>
  <si>
    <t>Тридцять вісім тисяч п'ятдесят дві грн. 24 коп.</t>
  </si>
  <si>
    <t xml:space="preserve">Юрисконсульт </t>
  </si>
  <si>
    <t xml:space="preserve">Бухгалтер </t>
  </si>
  <si>
    <t>Лікар-неонатолог</t>
  </si>
  <si>
    <t>Лікар-епідеміолог</t>
  </si>
  <si>
    <t>Лікар-стажист рентгенолог</t>
  </si>
  <si>
    <t>Лікар педіатр</t>
  </si>
  <si>
    <t>5. Пологове відділення , на 6 ліжок</t>
  </si>
  <si>
    <t xml:space="preserve">Лікар -акушер-гінеколог                                                       </t>
  </si>
  <si>
    <t>Акушерка</t>
  </si>
  <si>
    <t xml:space="preserve">Сестра медична палати новонароджених                                 </t>
  </si>
  <si>
    <t>Молодша медична сестра з догляду за хворими</t>
  </si>
  <si>
    <t>КНП"Новгород-Сіверська ЦМЛ"</t>
  </si>
  <si>
    <t>Штат в кількості 245,25 штатних одиниць</t>
  </si>
  <si>
    <t xml:space="preserve">Економіст з фінансової роботи </t>
  </si>
  <si>
    <t>Інфекційні 85</t>
  </si>
  <si>
    <t>Пологові - 6, в т.ч.</t>
  </si>
  <si>
    <t>пологові - 6</t>
  </si>
  <si>
    <t>Терапевтичне 12, в.т.ч.</t>
  </si>
  <si>
    <t xml:space="preserve">   Хірургічні 7, в т.ч.</t>
  </si>
  <si>
    <t>Новгород-Сіверської міської ради</t>
  </si>
  <si>
    <t>ПОГОДЖЕНО</t>
  </si>
  <si>
    <t xml:space="preserve"> Штатний розпис КНП "Новгород-Сіверська центральна міська лікарня імені І.В.Буяльського" зубопротезної лабораторії</t>
  </si>
  <si>
    <t>з місячним фондом заробітної плати - 1426034 грн. 99 коп.</t>
  </si>
  <si>
    <t>Олена НАБХАН</t>
  </si>
  <si>
    <t>______________________________</t>
  </si>
  <si>
    <t xml:space="preserve"> Штатний розпис КНП "Новгород-Сіверська центральна міська лікарня імені І.В.Буяльського"  госпрозрахункового підрозділу</t>
  </si>
  <si>
    <t>(один мільйон чотириста двадцять шість тисяч  тридцять чотири грн. 99 коп.)</t>
  </si>
  <si>
    <t xml:space="preserve">Штат в кількості  - 3,0 штатних одиниць </t>
  </si>
  <si>
    <t xml:space="preserve"> (одиннадцять тисяч вісімсот вісімдесят два грн.)</t>
  </si>
  <si>
    <t>з місячним фондом заробітної плати -11882 грн.</t>
  </si>
  <si>
    <t xml:space="preserve"> ПРОФІЛЬ ЛІЖОК</t>
  </si>
  <si>
    <t>Людмила ЗАЛІСЬКА</t>
  </si>
  <si>
    <t>ПРОЄКТ №</t>
  </si>
  <si>
    <t>десятої</t>
  </si>
  <si>
    <t>сесії</t>
  </si>
  <si>
    <t xml:space="preserve">Рішення </t>
  </si>
  <si>
    <t>VIII скликання</t>
  </si>
  <si>
    <t xml:space="preserve">    травня 2021 року №</t>
  </si>
  <si>
    <t>Секретар міської ради</t>
  </si>
  <si>
    <t>Ю. Лакоза</t>
  </si>
  <si>
    <t>ПОГОДЖЕНО   ПРОЄКТ №</t>
  </si>
  <si>
    <t>Рішення десятої сесії</t>
  </si>
  <si>
    <t xml:space="preserve">   травня 2021 року №</t>
  </si>
  <si>
    <t xml:space="preserve">  травня 2021 року</t>
  </si>
  <si>
    <t xml:space="preserve"> Штатний розпис КНП "Новгород-Сіверська центральна міська лікарня імені І.В. Буяльського"                                                            </t>
  </si>
  <si>
    <t>ПРОЄКТ № 18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</si>
</sst>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0.000"/>
    <numFmt numFmtId="210" formatCode="0.0000"/>
    <numFmt numFmtId="211" formatCode="0.00000"/>
    <numFmt numFmtId="212" formatCode="0.000000"/>
  </numFmts>
  <fonts count="6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16.5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sz val="10"/>
      <color indexed="10"/>
      <name val="Arial"/>
      <family val="2"/>
    </font>
    <font>
      <sz val="10"/>
      <color indexed="45"/>
      <name val="Arial"/>
      <family val="2"/>
    </font>
    <font>
      <sz val="10"/>
      <name val="Times New Roman"/>
      <family val="1"/>
    </font>
    <font>
      <u val="single"/>
      <sz val="10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Times New Roman"/>
      <family val="1"/>
    </font>
    <font>
      <sz val="9"/>
      <color indexed="60"/>
      <name val="Times New Roman"/>
      <family val="1"/>
    </font>
    <font>
      <sz val="10"/>
      <color indexed="60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6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1" fillId="0" borderId="0" xfId="0" applyFont="1" applyAlignment="1">
      <alignment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 wrapText="1"/>
    </xf>
    <xf numFmtId="0" fontId="9" fillId="0" borderId="0" xfId="0" applyFont="1" applyAlignment="1">
      <alignment/>
    </xf>
    <xf numFmtId="0" fontId="10" fillId="0" borderId="18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vertical="top" wrapText="1"/>
    </xf>
    <xf numFmtId="208" fontId="10" fillId="0" borderId="20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2" fontId="1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2" fillId="0" borderId="0" xfId="0" applyNumberFormat="1" applyFont="1" applyBorder="1" applyAlignment="1">
      <alignment wrapText="1"/>
    </xf>
    <xf numFmtId="2" fontId="2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0" fontId="1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" fillId="0" borderId="0" xfId="0" applyFont="1" applyBorder="1" applyAlignment="1">
      <alignment/>
    </xf>
    <xf numFmtId="2" fontId="10" fillId="0" borderId="20" xfId="0" applyNumberFormat="1" applyFont="1" applyFill="1" applyBorder="1" applyAlignment="1">
      <alignment horizontal="left"/>
    </xf>
    <xf numFmtId="2" fontId="6" fillId="0" borderId="13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2" fillId="34" borderId="0" xfId="0" applyFont="1" applyFill="1" applyAlignment="1">
      <alignment/>
    </xf>
    <xf numFmtId="0" fontId="13" fillId="0" borderId="0" xfId="0" applyFont="1" applyAlignment="1">
      <alignment/>
    </xf>
    <xf numFmtId="0" fontId="1" fillId="0" borderId="18" xfId="0" applyFont="1" applyBorder="1" applyAlignment="1">
      <alignment horizontal="center"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horizontal="center" wrapText="1"/>
    </xf>
    <xf numFmtId="0" fontId="0" fillId="34" borderId="0" xfId="0" applyFont="1" applyFill="1" applyAlignment="1">
      <alignment/>
    </xf>
    <xf numFmtId="17" fontId="0" fillId="34" borderId="0" xfId="0" applyNumberFormat="1" applyFill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1" fillId="34" borderId="0" xfId="0" applyFont="1" applyFill="1" applyAlignment="1">
      <alignment/>
    </xf>
    <xf numFmtId="2" fontId="0" fillId="34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0" fontId="11" fillId="34" borderId="0" xfId="0" applyFont="1" applyFill="1" applyAlignment="1">
      <alignment/>
    </xf>
    <xf numFmtId="0" fontId="11" fillId="33" borderId="0" xfId="0" applyFont="1" applyFill="1" applyAlignment="1">
      <alignment/>
    </xf>
    <xf numFmtId="0" fontId="1" fillId="0" borderId="12" xfId="0" applyFont="1" applyFill="1" applyBorder="1" applyAlignment="1">
      <alignment wrapText="1"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08" fontId="0" fillId="0" borderId="12" xfId="0" applyNumberForma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29" xfId="0" applyFill="1" applyBorder="1" applyAlignment="1">
      <alignment horizontal="center"/>
    </xf>
    <xf numFmtId="2" fontId="0" fillId="0" borderId="29" xfId="0" applyNumberFormat="1" applyFill="1" applyBorder="1" applyAlignment="1">
      <alignment horizontal="center"/>
    </xf>
    <xf numFmtId="2" fontId="0" fillId="0" borderId="30" xfId="0" applyNumberForma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11" fillId="33" borderId="0" xfId="0" applyFont="1" applyFill="1" applyAlignment="1">
      <alignment/>
    </xf>
    <xf numFmtId="0" fontId="16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19" fillId="0" borderId="12" xfId="0" applyFont="1" applyFill="1" applyBorder="1" applyAlignment="1">
      <alignment vertical="top" wrapText="1"/>
    </xf>
    <xf numFmtId="0" fontId="11" fillId="0" borderId="0" xfId="0" applyFont="1" applyAlignment="1">
      <alignment/>
    </xf>
    <xf numFmtId="0" fontId="20" fillId="0" borderId="12" xfId="0" applyFont="1" applyFill="1" applyBorder="1" applyAlignment="1">
      <alignment vertical="top" wrapText="1"/>
    </xf>
    <xf numFmtId="0" fontId="21" fillId="0" borderId="12" xfId="0" applyFont="1" applyFill="1" applyBorder="1" applyAlignment="1">
      <alignment vertical="top" wrapText="1"/>
    </xf>
    <xf numFmtId="2" fontId="11" fillId="34" borderId="0" xfId="0" applyNumberFormat="1" applyFont="1" applyFill="1" applyAlignment="1">
      <alignment/>
    </xf>
    <xf numFmtId="0" fontId="11" fillId="34" borderId="0" xfId="0" applyFont="1" applyFill="1" applyAlignment="1">
      <alignment/>
    </xf>
    <xf numFmtId="0" fontId="22" fillId="0" borderId="26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2" fontId="4" fillId="0" borderId="31" xfId="0" applyNumberFormat="1" applyFont="1" applyFill="1" applyBorder="1" applyAlignment="1">
      <alignment horizontal="center" wrapText="1"/>
    </xf>
    <xf numFmtId="2" fontId="4" fillId="0" borderId="26" xfId="0" applyNumberFormat="1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3" fillId="0" borderId="22" xfId="0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26" xfId="0" applyFont="1" applyFill="1" applyBorder="1" applyAlignment="1">
      <alignment horizontal="center" vertical="top" wrapText="1"/>
    </xf>
    <xf numFmtId="0" fontId="22" fillId="34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2" fontId="4" fillId="0" borderId="26" xfId="0" applyNumberFormat="1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21" xfId="0" applyFont="1" applyFill="1" applyBorder="1" applyAlignment="1">
      <alignment horizontal="center" vertical="top" wrapText="1"/>
    </xf>
    <xf numFmtId="2" fontId="4" fillId="0" borderId="21" xfId="0" applyNumberFormat="1" applyFont="1" applyFill="1" applyBorder="1" applyAlignment="1">
      <alignment horizontal="center" vertical="top" wrapText="1"/>
    </xf>
    <xf numFmtId="2" fontId="4" fillId="0" borderId="32" xfId="0" applyNumberFormat="1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vertical="top" wrapText="1"/>
    </xf>
    <xf numFmtId="0" fontId="4" fillId="0" borderId="25" xfId="0" applyFont="1" applyFill="1" applyBorder="1" applyAlignment="1">
      <alignment horizontal="center" vertical="top" wrapText="1"/>
    </xf>
    <xf numFmtId="2" fontId="4" fillId="0" borderId="25" xfId="0" applyNumberFormat="1" applyFont="1" applyFill="1" applyBorder="1" applyAlignment="1">
      <alignment horizontal="center" vertical="top" wrapText="1"/>
    </xf>
    <xf numFmtId="0" fontId="23" fillId="0" borderId="25" xfId="0" applyFont="1" applyFill="1" applyBorder="1" applyAlignment="1">
      <alignment vertical="top" wrapText="1"/>
    </xf>
    <xf numFmtId="0" fontId="23" fillId="0" borderId="26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25" xfId="0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2" fontId="4" fillId="0" borderId="34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wrapText="1"/>
    </xf>
    <xf numFmtId="2" fontId="4" fillId="0" borderId="35" xfId="0" applyNumberFormat="1" applyFont="1" applyFill="1" applyBorder="1" applyAlignment="1">
      <alignment horizontal="center" wrapText="1"/>
    </xf>
    <xf numFmtId="0" fontId="4" fillId="0" borderId="25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4" fillId="0" borderId="20" xfId="0" applyFont="1" applyFill="1" applyBorder="1" applyAlignment="1">
      <alignment horizontal="center" wrapText="1"/>
    </xf>
    <xf numFmtId="2" fontId="4" fillId="0" borderId="20" xfId="0" applyNumberFormat="1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wrapText="1"/>
    </xf>
    <xf numFmtId="2" fontId="4" fillId="0" borderId="25" xfId="0" applyNumberFormat="1" applyFont="1" applyFill="1" applyBorder="1" applyAlignment="1">
      <alignment horizontal="center" wrapText="1"/>
    </xf>
    <xf numFmtId="2" fontId="23" fillId="0" borderId="20" xfId="0" applyNumberFormat="1" applyFont="1" applyFill="1" applyBorder="1" applyAlignment="1">
      <alignment horizontal="left"/>
    </xf>
    <xf numFmtId="208" fontId="23" fillId="0" borderId="11" xfId="0" applyNumberFormat="1" applyFont="1" applyFill="1" applyBorder="1" applyAlignment="1">
      <alignment horizontal="left"/>
    </xf>
    <xf numFmtId="0" fontId="23" fillId="0" borderId="10" xfId="0" applyFont="1" applyFill="1" applyBorder="1" applyAlignment="1">
      <alignment wrapText="1"/>
    </xf>
    <xf numFmtId="208" fontId="23" fillId="0" borderId="10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2" fontId="23" fillId="0" borderId="10" xfId="0" applyNumberFormat="1" applyFont="1" applyFill="1" applyBorder="1" applyAlignment="1">
      <alignment horizontal="center" wrapText="1"/>
    </xf>
    <xf numFmtId="0" fontId="23" fillId="0" borderId="18" xfId="0" applyFont="1" applyFill="1" applyBorder="1" applyAlignment="1">
      <alignment horizontal="center" wrapText="1"/>
    </xf>
    <xf numFmtId="0" fontId="23" fillId="0" borderId="18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wrapText="1"/>
    </xf>
    <xf numFmtId="0" fontId="4" fillId="0" borderId="21" xfId="0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 wrapText="1"/>
    </xf>
    <xf numFmtId="2" fontId="4" fillId="0" borderId="36" xfId="0" applyNumberFormat="1" applyFont="1" applyFill="1" applyBorder="1" applyAlignment="1">
      <alignment horizontal="center" wrapText="1"/>
    </xf>
    <xf numFmtId="0" fontId="23" fillId="0" borderId="36" xfId="0" applyFont="1" applyFill="1" applyBorder="1" applyAlignment="1">
      <alignment horizontal="left" wrapText="1"/>
    </xf>
    <xf numFmtId="208" fontId="23" fillId="0" borderId="32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23" fillId="0" borderId="18" xfId="0" applyFont="1" applyFill="1" applyBorder="1" applyAlignment="1">
      <alignment wrapText="1"/>
    </xf>
    <xf numFmtId="208" fontId="23" fillId="0" borderId="11" xfId="0" applyNumberFormat="1" applyFont="1" applyFill="1" applyBorder="1" applyAlignment="1">
      <alignment horizontal="left" wrapText="1"/>
    </xf>
    <xf numFmtId="2" fontId="23" fillId="0" borderId="11" xfId="0" applyNumberFormat="1" applyFont="1" applyFill="1" applyBorder="1" applyAlignment="1">
      <alignment horizontal="center" wrapText="1"/>
    </xf>
    <xf numFmtId="0" fontId="23" fillId="0" borderId="37" xfId="0" applyFont="1" applyFill="1" applyBorder="1" applyAlignment="1">
      <alignment wrapText="1"/>
    </xf>
    <xf numFmtId="0" fontId="23" fillId="0" borderId="19" xfId="0" applyFont="1" applyFill="1" applyBorder="1" applyAlignment="1">
      <alignment vertical="top" wrapText="1"/>
    </xf>
    <xf numFmtId="208" fontId="23" fillId="0" borderId="20" xfId="0" applyNumberFormat="1" applyFont="1" applyFill="1" applyBorder="1" applyAlignment="1">
      <alignment horizontal="left" wrapText="1"/>
    </xf>
    <xf numFmtId="0" fontId="23" fillId="0" borderId="20" xfId="0" applyFont="1" applyFill="1" applyBorder="1" applyAlignment="1">
      <alignment horizontal="left" wrapText="1"/>
    </xf>
    <xf numFmtId="0" fontId="23" fillId="0" borderId="18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horizontal="left" wrapText="1"/>
    </xf>
    <xf numFmtId="0" fontId="23" fillId="0" borderId="24" xfId="0" applyFont="1" applyFill="1" applyBorder="1" applyAlignment="1">
      <alignment horizontal="center" wrapText="1"/>
    </xf>
    <xf numFmtId="2" fontId="23" fillId="0" borderId="24" xfId="0" applyNumberFormat="1" applyFont="1" applyFill="1" applyBorder="1" applyAlignment="1">
      <alignment horizontal="center" wrapText="1"/>
    </xf>
    <xf numFmtId="0" fontId="23" fillId="0" borderId="24" xfId="0" applyFont="1" applyFill="1" applyBorder="1" applyAlignment="1">
      <alignment vertical="top" wrapText="1"/>
    </xf>
    <xf numFmtId="0" fontId="23" fillId="0" borderId="24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2" fontId="4" fillId="0" borderId="38" xfId="0" applyNumberFormat="1" applyFont="1" applyFill="1" applyBorder="1" applyAlignment="1">
      <alignment horizontal="center" wrapText="1"/>
    </xf>
    <xf numFmtId="0" fontId="2" fillId="0" borderId="36" xfId="0" applyFont="1" applyBorder="1" applyAlignment="1">
      <alignment horizontal="center"/>
    </xf>
    <xf numFmtId="0" fontId="23" fillId="0" borderId="19" xfId="0" applyFont="1" applyFill="1" applyBorder="1" applyAlignment="1">
      <alignment wrapText="1"/>
    </xf>
    <xf numFmtId="2" fontId="23" fillId="0" borderId="20" xfId="0" applyNumberFormat="1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2" fontId="4" fillId="0" borderId="32" xfId="0" applyNumberFormat="1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2" fontId="23" fillId="0" borderId="11" xfId="0" applyNumberFormat="1" applyFont="1" applyFill="1" applyBorder="1" applyAlignment="1">
      <alignment horizontal="left"/>
    </xf>
    <xf numFmtId="2" fontId="4" fillId="0" borderId="21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0" fontId="22" fillId="33" borderId="0" xfId="0" applyFont="1" applyFill="1" applyAlignment="1">
      <alignment/>
    </xf>
    <xf numFmtId="2" fontId="4" fillId="0" borderId="22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 wrapText="1"/>
    </xf>
    <xf numFmtId="2" fontId="23" fillId="0" borderId="39" xfId="0" applyNumberFormat="1" applyFont="1" applyFill="1" applyBorder="1" applyAlignment="1">
      <alignment horizontal="center" wrapText="1"/>
    </xf>
    <xf numFmtId="208" fontId="23" fillId="0" borderId="40" xfId="0" applyNumberFormat="1" applyFont="1" applyFill="1" applyBorder="1" applyAlignment="1">
      <alignment horizontal="left" wrapText="1"/>
    </xf>
    <xf numFmtId="2" fontId="23" fillId="0" borderId="29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/>
    </xf>
    <xf numFmtId="0" fontId="23" fillId="0" borderId="39" xfId="0" applyFont="1" applyFill="1" applyBorder="1" applyAlignment="1">
      <alignment horizontal="center" wrapText="1"/>
    </xf>
    <xf numFmtId="208" fontId="23" fillId="0" borderId="40" xfId="0" applyNumberFormat="1" applyFont="1" applyFill="1" applyBorder="1" applyAlignment="1">
      <alignment horizontal="left"/>
    </xf>
    <xf numFmtId="0" fontId="23" fillId="0" borderId="41" xfId="0" applyFont="1" applyFill="1" applyBorder="1" applyAlignment="1">
      <alignment horizontal="left" wrapText="1"/>
    </xf>
    <xf numFmtId="208" fontId="23" fillId="0" borderId="42" xfId="0" applyNumberFormat="1" applyFont="1" applyFill="1" applyBorder="1" applyAlignment="1">
      <alignment horizontal="left"/>
    </xf>
    <xf numFmtId="2" fontId="4" fillId="0" borderId="43" xfId="0" applyNumberFormat="1" applyFont="1" applyFill="1" applyBorder="1" applyAlignment="1">
      <alignment horizontal="center" wrapText="1"/>
    </xf>
    <xf numFmtId="0" fontId="4" fillId="0" borderId="29" xfId="0" applyFont="1" applyFill="1" applyBorder="1" applyAlignment="1">
      <alignment wrapText="1"/>
    </xf>
    <xf numFmtId="0" fontId="4" fillId="0" borderId="44" xfId="0" applyFont="1" applyFill="1" applyBorder="1" applyAlignment="1">
      <alignment wrapText="1"/>
    </xf>
    <xf numFmtId="0" fontId="4" fillId="0" borderId="22" xfId="0" applyFont="1" applyFill="1" applyBorder="1" applyAlignment="1">
      <alignment horizontal="center" wrapText="1"/>
    </xf>
    <xf numFmtId="0" fontId="22" fillId="34" borderId="0" xfId="0" applyFont="1" applyFill="1" applyAlignment="1">
      <alignment/>
    </xf>
    <xf numFmtId="0" fontId="4" fillId="0" borderId="12" xfId="0" applyFont="1" applyFill="1" applyBorder="1" applyAlignment="1">
      <alignment wrapText="1"/>
    </xf>
    <xf numFmtId="0" fontId="22" fillId="0" borderId="0" xfId="0" applyFont="1" applyFill="1" applyAlignment="1">
      <alignment/>
    </xf>
    <xf numFmtId="0" fontId="23" fillId="0" borderId="0" xfId="0" applyFont="1" applyFill="1" applyBorder="1" applyAlignment="1">
      <alignment horizontal="left" wrapText="1"/>
    </xf>
    <xf numFmtId="208" fontId="23" fillId="0" borderId="2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 wrapText="1"/>
    </xf>
    <xf numFmtId="2" fontId="4" fillId="33" borderId="11" xfId="0" applyNumberFormat="1" applyFont="1" applyFill="1" applyBorder="1" applyAlignment="1">
      <alignment horizontal="center" wrapText="1"/>
    </xf>
    <xf numFmtId="0" fontId="4" fillId="33" borderId="31" xfId="0" applyFont="1" applyFill="1" applyBorder="1" applyAlignment="1">
      <alignment horizontal="center" wrapText="1"/>
    </xf>
    <xf numFmtId="0" fontId="4" fillId="33" borderId="26" xfId="0" applyFont="1" applyFill="1" applyBorder="1" applyAlignment="1">
      <alignment horizontal="center" wrapText="1"/>
    </xf>
    <xf numFmtId="0" fontId="23" fillId="0" borderId="36" xfId="0" applyFont="1" applyFill="1" applyBorder="1" applyAlignment="1">
      <alignment wrapText="1"/>
    </xf>
    <xf numFmtId="2" fontId="23" fillId="0" borderId="32" xfId="0" applyNumberFormat="1" applyFont="1" applyFill="1" applyBorder="1" applyAlignment="1">
      <alignment horizontal="left"/>
    </xf>
    <xf numFmtId="0" fontId="23" fillId="0" borderId="20" xfId="0" applyFont="1" applyFill="1" applyBorder="1" applyAlignment="1">
      <alignment horizontal="left"/>
    </xf>
    <xf numFmtId="0" fontId="23" fillId="0" borderId="24" xfId="0" applyFont="1" applyFill="1" applyBorder="1" applyAlignment="1">
      <alignment wrapText="1"/>
    </xf>
    <xf numFmtId="2" fontId="23" fillId="0" borderId="24" xfId="0" applyNumberFormat="1" applyFont="1" applyFill="1" applyBorder="1" applyAlignment="1">
      <alignment horizontal="left"/>
    </xf>
    <xf numFmtId="0" fontId="23" fillId="0" borderId="19" xfId="0" applyFont="1" applyFill="1" applyBorder="1" applyAlignment="1">
      <alignment horizontal="left" wrapText="1"/>
    </xf>
    <xf numFmtId="0" fontId="4" fillId="0" borderId="38" xfId="0" applyFont="1" applyFill="1" applyBorder="1" applyAlignment="1">
      <alignment wrapText="1"/>
    </xf>
    <xf numFmtId="0" fontId="4" fillId="0" borderId="45" xfId="0" applyFont="1" applyFill="1" applyBorder="1" applyAlignment="1">
      <alignment horizontal="center" wrapText="1"/>
    </xf>
    <xf numFmtId="2" fontId="4" fillId="0" borderId="45" xfId="0" applyNumberFormat="1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2" fontId="23" fillId="0" borderId="0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wrapText="1"/>
    </xf>
    <xf numFmtId="2" fontId="23" fillId="0" borderId="36" xfId="0" applyNumberFormat="1" applyFont="1" applyFill="1" applyBorder="1" applyAlignment="1">
      <alignment horizontal="left" wrapText="1"/>
    </xf>
    <xf numFmtId="2" fontId="23" fillId="0" borderId="32" xfId="0" applyNumberFormat="1" applyFont="1" applyFill="1" applyBorder="1" applyAlignment="1">
      <alignment horizontal="left" wrapText="1"/>
    </xf>
    <xf numFmtId="0" fontId="23" fillId="0" borderId="19" xfId="0" applyFont="1" applyFill="1" applyBorder="1" applyAlignment="1">
      <alignment horizontal="left"/>
    </xf>
    <xf numFmtId="0" fontId="23" fillId="0" borderId="18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208" fontId="23" fillId="0" borderId="0" xfId="0" applyNumberFormat="1" applyFont="1" applyFill="1" applyBorder="1" applyAlignment="1">
      <alignment horizontal="left"/>
    </xf>
    <xf numFmtId="0" fontId="22" fillId="35" borderId="0" xfId="0" applyFont="1" applyFill="1" applyAlignment="1">
      <alignment/>
    </xf>
    <xf numFmtId="0" fontId="23" fillId="0" borderId="11" xfId="0" applyFont="1" applyFill="1" applyBorder="1" applyAlignment="1">
      <alignment horizontal="left"/>
    </xf>
    <xf numFmtId="2" fontId="22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4" fillId="33" borderId="12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46" xfId="0" applyFont="1" applyFill="1" applyBorder="1" applyAlignment="1">
      <alignment horizontal="center" wrapText="1"/>
    </xf>
    <xf numFmtId="2" fontId="4" fillId="0" borderId="33" xfId="0" applyNumberFormat="1" applyFont="1" applyFill="1" applyBorder="1" applyAlignment="1">
      <alignment horizontal="center" wrapText="1"/>
    </xf>
    <xf numFmtId="0" fontId="4" fillId="33" borderId="38" xfId="0" applyFont="1" applyFill="1" applyBorder="1" applyAlignment="1">
      <alignment vertical="top" wrapText="1"/>
    </xf>
    <xf numFmtId="0" fontId="4" fillId="0" borderId="34" xfId="0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 wrapText="1"/>
    </xf>
    <xf numFmtId="2" fontId="22" fillId="0" borderId="0" xfId="0" applyNumberFormat="1" applyFont="1" applyAlignment="1">
      <alignment horizontal="left"/>
    </xf>
    <xf numFmtId="2" fontId="22" fillId="0" borderId="0" xfId="0" applyNumberFormat="1" applyFont="1" applyAlignment="1">
      <alignment/>
    </xf>
    <xf numFmtId="208" fontId="22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2" fontId="24" fillId="0" borderId="0" xfId="0" applyNumberFormat="1" applyFont="1" applyAlignment="1">
      <alignment horizontal="left"/>
    </xf>
    <xf numFmtId="2" fontId="24" fillId="0" borderId="0" xfId="0" applyNumberFormat="1" applyFont="1" applyAlignment="1">
      <alignment horizontal="right"/>
    </xf>
    <xf numFmtId="208" fontId="10" fillId="0" borderId="11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25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23" fillId="0" borderId="22" xfId="0" applyNumberFormat="1" applyFont="1" applyFill="1" applyBorder="1" applyAlignment="1">
      <alignment horizontal="center" wrapText="1"/>
    </xf>
    <xf numFmtId="2" fontId="23" fillId="0" borderId="10" xfId="0" applyNumberFormat="1" applyFont="1" applyFill="1" applyBorder="1" applyAlignment="1">
      <alignment horizontal="center" wrapText="1"/>
    </xf>
    <xf numFmtId="2" fontId="4" fillId="0" borderId="31" xfId="0" applyNumberFormat="1" applyFont="1" applyFill="1" applyBorder="1" applyAlignment="1">
      <alignment horizontal="center" wrapText="1"/>
    </xf>
    <xf numFmtId="2" fontId="4" fillId="0" borderId="26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47" xfId="0" applyNumberFormat="1" applyFont="1" applyFill="1" applyBorder="1" applyAlignment="1">
      <alignment horizontal="center" wrapText="1"/>
    </xf>
    <xf numFmtId="2" fontId="4" fillId="0" borderId="48" xfId="0" applyNumberFormat="1" applyFont="1" applyFill="1" applyBorder="1" applyAlignment="1">
      <alignment horizontal="center" wrapText="1"/>
    </xf>
    <xf numFmtId="2" fontId="23" fillId="0" borderId="19" xfId="0" applyNumberFormat="1" applyFont="1" applyFill="1" applyBorder="1" applyAlignment="1">
      <alignment horizontal="center" wrapText="1"/>
    </xf>
    <xf numFmtId="2" fontId="23" fillId="0" borderId="20" xfId="0" applyNumberFormat="1" applyFont="1" applyFill="1" applyBorder="1" applyAlignment="1">
      <alignment horizontal="center" wrapText="1"/>
    </xf>
    <xf numFmtId="2" fontId="23" fillId="0" borderId="21" xfId="0" applyNumberFormat="1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3" fillId="0" borderId="22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21" xfId="0" applyFont="1" applyFill="1" applyBorder="1" applyAlignment="1">
      <alignment horizontal="center" wrapText="1"/>
    </xf>
    <xf numFmtId="2" fontId="23" fillId="0" borderId="36" xfId="0" applyNumberFormat="1" applyFont="1" applyFill="1" applyBorder="1" applyAlignment="1">
      <alignment horizontal="center" wrapText="1"/>
    </xf>
    <xf numFmtId="2" fontId="23" fillId="0" borderId="18" xfId="0" applyNumberFormat="1" applyFont="1" applyFill="1" applyBorder="1" applyAlignment="1">
      <alignment horizontal="center" wrapText="1"/>
    </xf>
    <xf numFmtId="0" fontId="2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3" fillId="0" borderId="22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23" fillId="0" borderId="31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6" xfId="0" applyFont="1" applyFill="1" applyBorder="1" applyAlignment="1">
      <alignment horizontal="center" wrapText="1"/>
    </xf>
    <xf numFmtId="2" fontId="23" fillId="0" borderId="32" xfId="0" applyNumberFormat="1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23" fillId="0" borderId="31" xfId="0" applyFont="1" applyFill="1" applyBorder="1" applyAlignment="1">
      <alignment wrapText="1"/>
    </xf>
    <xf numFmtId="0" fontId="23" fillId="0" borderId="23" xfId="0" applyFont="1" applyFill="1" applyBorder="1" applyAlignment="1">
      <alignment wrapText="1"/>
    </xf>
    <xf numFmtId="0" fontId="23" fillId="0" borderId="26" xfId="0" applyFont="1" applyFill="1" applyBorder="1" applyAlignment="1">
      <alignment wrapText="1"/>
    </xf>
    <xf numFmtId="2" fontId="4" fillId="0" borderId="18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 wrapText="1"/>
    </xf>
    <xf numFmtId="2" fontId="4" fillId="0" borderId="2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23" fillId="0" borderId="37" xfId="0" applyFont="1" applyFill="1" applyBorder="1" applyAlignment="1">
      <alignment horizontal="center" wrapText="1"/>
    </xf>
    <xf numFmtId="208" fontId="23" fillId="0" borderId="22" xfId="0" applyNumberFormat="1" applyFont="1" applyFill="1" applyBorder="1" applyAlignment="1">
      <alignment horizontal="center" wrapText="1"/>
    </xf>
    <xf numFmtId="208" fontId="23" fillId="0" borderId="10" xfId="0" applyNumberFormat="1" applyFont="1" applyFill="1" applyBorder="1" applyAlignment="1">
      <alignment horizontal="center" wrapText="1"/>
    </xf>
    <xf numFmtId="208" fontId="23" fillId="0" borderId="21" xfId="0" applyNumberFormat="1" applyFont="1" applyFill="1" applyBorder="1" applyAlignment="1">
      <alignment horizontal="center" wrapText="1"/>
    </xf>
    <xf numFmtId="0" fontId="23" fillId="0" borderId="36" xfId="0" applyFont="1" applyFill="1" applyBorder="1" applyAlignment="1">
      <alignment horizontal="center" wrapText="1"/>
    </xf>
    <xf numFmtId="0" fontId="23" fillId="0" borderId="19" xfId="0" applyFont="1" applyFill="1" applyBorder="1" applyAlignment="1">
      <alignment horizontal="center" wrapText="1"/>
    </xf>
    <xf numFmtId="0" fontId="23" fillId="0" borderId="18" xfId="0" applyFont="1" applyFill="1" applyBorder="1" applyAlignment="1">
      <alignment horizontal="center" wrapText="1"/>
    </xf>
    <xf numFmtId="0" fontId="23" fillId="0" borderId="31" xfId="0" applyFont="1" applyFill="1" applyBorder="1" applyAlignment="1">
      <alignment horizontal="left" wrapText="1"/>
    </xf>
    <xf numFmtId="0" fontId="23" fillId="0" borderId="23" xfId="0" applyFont="1" applyFill="1" applyBorder="1" applyAlignment="1">
      <alignment horizontal="left" wrapText="1"/>
    </xf>
    <xf numFmtId="0" fontId="23" fillId="0" borderId="26" xfId="0" applyFont="1" applyFill="1" applyBorder="1" applyAlignment="1">
      <alignment horizontal="left" wrapText="1"/>
    </xf>
    <xf numFmtId="0" fontId="23" fillId="0" borderId="32" xfId="0" applyFont="1" applyFill="1" applyBorder="1" applyAlignment="1">
      <alignment horizontal="center" wrapText="1"/>
    </xf>
    <xf numFmtId="2" fontId="23" fillId="0" borderId="11" xfId="0" applyNumberFormat="1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2" fillId="0" borderId="26" xfId="0" applyFont="1" applyFill="1" applyBorder="1" applyAlignment="1">
      <alignment horizontal="center" wrapText="1"/>
    </xf>
    <xf numFmtId="0" fontId="23" fillId="0" borderId="21" xfId="0" applyFont="1" applyFill="1" applyBorder="1" applyAlignment="1">
      <alignment horizontal="center" vertical="top" wrapText="1"/>
    </xf>
    <xf numFmtId="0" fontId="23" fillId="0" borderId="22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36" xfId="0" applyFont="1" applyFill="1" applyBorder="1" applyAlignment="1">
      <alignment horizontal="center" vertical="top" wrapText="1"/>
    </xf>
    <xf numFmtId="0" fontId="23" fillId="0" borderId="19" xfId="0" applyFont="1" applyFill="1" applyBorder="1" applyAlignment="1">
      <alignment horizontal="center" vertical="top" wrapText="1"/>
    </xf>
    <xf numFmtId="0" fontId="23" fillId="0" borderId="18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23" fillId="0" borderId="37" xfId="0" applyFont="1" applyFill="1" applyBorder="1" applyAlignment="1">
      <alignment horizontal="center" vertical="top" wrapText="1"/>
    </xf>
    <xf numFmtId="0" fontId="23" fillId="0" borderId="32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center" vertical="top" wrapText="1"/>
    </xf>
    <xf numFmtId="0" fontId="23" fillId="0" borderId="24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2" fontId="4" fillId="0" borderId="23" xfId="0" applyNumberFormat="1" applyFont="1" applyFill="1" applyBorder="1" applyAlignment="1">
      <alignment horizontal="center" wrapText="1"/>
    </xf>
    <xf numFmtId="0" fontId="23" fillId="0" borderId="31" xfId="0" applyFont="1" applyFill="1" applyBorder="1" applyAlignment="1">
      <alignment horizontal="center" vertical="top" wrapText="1"/>
    </xf>
    <xf numFmtId="0" fontId="23" fillId="0" borderId="23" xfId="0" applyFont="1" applyFill="1" applyBorder="1" applyAlignment="1">
      <alignment horizontal="center" vertical="top" wrapText="1"/>
    </xf>
    <xf numFmtId="0" fontId="23" fillId="0" borderId="26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2" fontId="4" fillId="0" borderId="31" xfId="0" applyNumberFormat="1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top" wrapText="1"/>
    </xf>
    <xf numFmtId="2" fontId="4" fillId="0" borderId="36" xfId="0" applyNumberFormat="1" applyFont="1" applyFill="1" applyBorder="1" applyAlignment="1">
      <alignment horizontal="center" vertical="top" wrapText="1"/>
    </xf>
    <xf numFmtId="2" fontId="4" fillId="0" borderId="32" xfId="0" applyNumberFormat="1" applyFont="1" applyFill="1" applyBorder="1" applyAlignment="1">
      <alignment horizontal="center" vertical="top" wrapText="1"/>
    </xf>
    <xf numFmtId="0" fontId="22" fillId="0" borderId="26" xfId="0" applyFont="1" applyFill="1" applyBorder="1" applyAlignment="1">
      <alignment horizontal="center" vertical="top" wrapText="1"/>
    </xf>
    <xf numFmtId="2" fontId="4" fillId="0" borderId="36" xfId="0" applyNumberFormat="1" applyFont="1" applyFill="1" applyBorder="1" applyAlignment="1">
      <alignment horizontal="center" wrapText="1"/>
    </xf>
    <xf numFmtId="2" fontId="23" fillId="0" borderId="22" xfId="0" applyNumberFormat="1" applyFont="1" applyFill="1" applyBorder="1" applyAlignment="1">
      <alignment horizontal="center" vertical="top" wrapText="1"/>
    </xf>
    <xf numFmtId="2" fontId="23" fillId="0" borderId="10" xfId="0" applyNumberFormat="1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2" fontId="23" fillId="0" borderId="19" xfId="0" applyNumberFormat="1" applyFont="1" applyFill="1" applyBorder="1" applyAlignment="1">
      <alignment horizontal="center" vertical="top" wrapText="1"/>
    </xf>
    <xf numFmtId="2" fontId="23" fillId="0" borderId="20" xfId="0" applyNumberFormat="1" applyFont="1" applyFill="1" applyBorder="1" applyAlignment="1">
      <alignment horizontal="center" vertical="top" wrapText="1"/>
    </xf>
    <xf numFmtId="2" fontId="23" fillId="0" borderId="21" xfId="0" applyNumberFormat="1" applyFont="1" applyFill="1" applyBorder="1" applyAlignment="1">
      <alignment horizontal="center" vertical="top" wrapText="1"/>
    </xf>
    <xf numFmtId="2" fontId="4" fillId="0" borderId="32" xfId="0" applyNumberFormat="1" applyFont="1" applyFill="1" applyBorder="1" applyAlignment="1">
      <alignment horizontal="center" wrapText="1"/>
    </xf>
    <xf numFmtId="2" fontId="22" fillId="0" borderId="26" xfId="0" applyNumberFormat="1" applyFont="1" applyFill="1" applyBorder="1" applyAlignment="1">
      <alignment horizontal="center" wrapText="1"/>
    </xf>
    <xf numFmtId="2" fontId="4" fillId="0" borderId="35" xfId="0" applyNumberFormat="1" applyFont="1" applyFill="1" applyBorder="1" applyAlignment="1">
      <alignment horizontal="center" wrapText="1"/>
    </xf>
    <xf numFmtId="0" fontId="22" fillId="0" borderId="45" xfId="0" applyFont="1" applyFill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23" fillId="0" borderId="21" xfId="0" applyFont="1" applyFill="1" applyBorder="1" applyAlignment="1">
      <alignment wrapText="1"/>
    </xf>
    <xf numFmtId="2" fontId="23" fillId="0" borderId="13" xfId="0" applyNumberFormat="1" applyFont="1" applyFill="1" applyBorder="1" applyAlignment="1">
      <alignment horizontal="center"/>
    </xf>
    <xf numFmtId="2" fontId="23" fillId="0" borderId="44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4" fillId="0" borderId="21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23" fillId="0" borderId="2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23" fillId="0" borderId="29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3" fillId="0" borderId="44" xfId="0" applyFont="1" applyFill="1" applyBorder="1" applyAlignment="1">
      <alignment horizontal="center" wrapText="1"/>
    </xf>
    <xf numFmtId="2" fontId="23" fillId="0" borderId="37" xfId="0" applyNumberFormat="1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2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31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" fillId="0" borderId="3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0" borderId="21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3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6" fillId="0" borderId="0" xfId="0" applyFont="1" applyAlignment="1">
      <alignment/>
    </xf>
    <xf numFmtId="2" fontId="1" fillId="0" borderId="31" xfId="0" applyNumberFormat="1" applyFont="1" applyBorder="1" applyAlignment="1">
      <alignment horizontal="center" wrapText="1"/>
    </xf>
    <xf numFmtId="2" fontId="1" fillId="0" borderId="26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3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2" fillId="0" borderId="31" xfId="0" applyNumberFormat="1" applyFont="1" applyBorder="1" applyAlignment="1">
      <alignment horizontal="center" wrapText="1"/>
    </xf>
    <xf numFmtId="2" fontId="2" fillId="0" borderId="26" xfId="0" applyNumberFormat="1" applyFont="1" applyBorder="1" applyAlignment="1">
      <alignment horizontal="center" wrapText="1"/>
    </xf>
    <xf numFmtId="2" fontId="2" fillId="0" borderId="31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1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2" fontId="6" fillId="0" borderId="53" xfId="0" applyNumberFormat="1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4"/>
  <sheetViews>
    <sheetView tabSelected="1" view="pageBreakPreview" zoomScaleNormal="50" zoomScaleSheetLayoutView="100" zoomScalePageLayoutView="0" workbookViewId="0" topLeftCell="A7">
      <selection activeCell="L1" sqref="L1"/>
    </sheetView>
  </sheetViews>
  <sheetFormatPr defaultColWidth="9.140625" defaultRowHeight="12.75"/>
  <cols>
    <col min="1" max="1" width="1.57421875" style="0" customWidth="1"/>
    <col min="2" max="2" width="42.28125" style="13" customWidth="1"/>
    <col min="3" max="3" width="10.8515625" style="13" customWidth="1"/>
    <col min="4" max="4" width="11.28125" style="13" customWidth="1"/>
    <col min="5" max="5" width="14.00390625" style="13" customWidth="1"/>
    <col min="6" max="6" width="14.421875" style="13" customWidth="1"/>
    <col min="7" max="7" width="13.421875" style="13" customWidth="1"/>
    <col min="8" max="8" width="13.28125" style="13" customWidth="1"/>
    <col min="9" max="9" width="10.00390625" style="13" customWidth="1"/>
    <col min="10" max="10" width="12.140625" style="13" customWidth="1"/>
    <col min="11" max="11" width="20.57421875" style="13" customWidth="1"/>
    <col min="12" max="12" width="44.28125" style="14" customWidth="1"/>
    <col min="13" max="13" width="13.8515625" style="0" customWidth="1"/>
    <col min="14" max="14" width="18.140625" style="0" customWidth="1"/>
    <col min="16" max="16" width="10.57421875" style="0" bestFit="1" customWidth="1"/>
  </cols>
  <sheetData>
    <row r="1" spans="1:13" ht="18.75">
      <c r="A1" s="111"/>
      <c r="B1" s="112"/>
      <c r="C1" s="111"/>
      <c r="D1" s="111"/>
      <c r="E1" s="111"/>
      <c r="F1" s="111"/>
      <c r="G1" s="111"/>
      <c r="H1" s="111"/>
      <c r="I1" s="111"/>
      <c r="J1" s="112"/>
      <c r="K1" s="5" t="s">
        <v>233</v>
      </c>
      <c r="L1" s="5" t="s">
        <v>258</v>
      </c>
      <c r="M1" s="5"/>
    </row>
    <row r="2" spans="1:13" ht="18.75">
      <c r="A2" s="111"/>
      <c r="B2" s="303" t="s">
        <v>225</v>
      </c>
      <c r="C2" s="384"/>
      <c r="D2" s="384"/>
      <c r="E2" s="384"/>
      <c r="F2" s="384"/>
      <c r="G2" s="111"/>
      <c r="H2" s="111"/>
      <c r="I2" s="111"/>
      <c r="J2" s="9"/>
      <c r="K2" s="5" t="s">
        <v>254</v>
      </c>
      <c r="L2" s="5"/>
      <c r="M2" s="9"/>
    </row>
    <row r="3" spans="1:16" ht="18.75">
      <c r="A3" s="111"/>
      <c r="B3" s="5" t="s">
        <v>235</v>
      </c>
      <c r="C3" s="111"/>
      <c r="D3" s="111"/>
      <c r="E3" s="111"/>
      <c r="F3" s="5"/>
      <c r="G3" s="111"/>
      <c r="H3" s="111"/>
      <c r="I3" s="114"/>
      <c r="J3" s="9"/>
      <c r="K3" s="5" t="s">
        <v>232</v>
      </c>
      <c r="L3" s="5"/>
      <c r="M3" s="9"/>
      <c r="N3" s="6"/>
      <c r="P3" s="6"/>
    </row>
    <row r="4" spans="1:13" ht="22.5" customHeight="1">
      <c r="A4" s="111"/>
      <c r="B4" s="8" t="s">
        <v>239</v>
      </c>
      <c r="C4" s="8"/>
      <c r="D4" s="8"/>
      <c r="E4" s="111"/>
      <c r="F4" s="111"/>
      <c r="G4" s="111"/>
      <c r="H4" s="111"/>
      <c r="I4" s="5" t="s">
        <v>0</v>
      </c>
      <c r="J4" s="270"/>
      <c r="K4" s="5" t="s">
        <v>249</v>
      </c>
      <c r="L4" s="5"/>
      <c r="M4" s="9"/>
    </row>
    <row r="5" spans="1:13" ht="18.75">
      <c r="A5" s="111"/>
      <c r="B5" s="5" t="s">
        <v>129</v>
      </c>
      <c r="C5" s="111"/>
      <c r="D5" s="111"/>
      <c r="E5" s="111"/>
      <c r="F5" s="111"/>
      <c r="G5" s="111"/>
      <c r="H5" s="111"/>
      <c r="I5" s="118"/>
      <c r="J5" s="9"/>
      <c r="K5" s="278" t="s">
        <v>256</v>
      </c>
      <c r="L5" s="279"/>
      <c r="M5" s="1"/>
    </row>
    <row r="6" spans="1:12" ht="18.75">
      <c r="A6" s="111"/>
      <c r="B6" s="5" t="s">
        <v>237</v>
      </c>
      <c r="C6" s="111"/>
      <c r="D6" s="111"/>
      <c r="E6" s="111"/>
      <c r="F6" s="111"/>
      <c r="G6" s="111"/>
      <c r="H6" s="111"/>
      <c r="I6" s="118"/>
      <c r="J6" s="9"/>
      <c r="K6" s="9"/>
      <c r="L6" s="9"/>
    </row>
    <row r="7" spans="1:12" ht="24.75" customHeight="1">
      <c r="A7" s="111"/>
      <c r="B7" s="5"/>
      <c r="C7" s="111"/>
      <c r="D7" s="111"/>
      <c r="E7" s="111"/>
      <c r="F7" s="111"/>
      <c r="G7" s="111"/>
      <c r="H7" s="111"/>
      <c r="I7" s="111"/>
      <c r="J7" s="9"/>
      <c r="K7" s="9"/>
      <c r="L7" s="9"/>
    </row>
    <row r="8" spans="1:12" ht="20.25" customHeight="1">
      <c r="A8" s="111"/>
      <c r="B8" s="111"/>
      <c r="C8" s="111"/>
      <c r="D8" s="111"/>
      <c r="E8" s="111"/>
      <c r="F8" s="111"/>
      <c r="G8" s="111"/>
      <c r="H8" s="111"/>
      <c r="I8" s="111"/>
      <c r="J8" s="9"/>
      <c r="K8" s="9"/>
      <c r="L8" s="9"/>
    </row>
    <row r="9" spans="1:12" ht="19.5" thickBot="1">
      <c r="A9" s="111"/>
      <c r="B9" s="387" t="s">
        <v>257</v>
      </c>
      <c r="C9" s="387"/>
      <c r="D9" s="387"/>
      <c r="E9" s="387"/>
      <c r="F9" s="387"/>
      <c r="G9" s="387"/>
      <c r="H9" s="387"/>
      <c r="I9" s="387"/>
      <c r="J9" s="387"/>
      <c r="K9" s="387"/>
      <c r="L9" s="387"/>
    </row>
    <row r="10" spans="1:12" ht="12.75" customHeight="1">
      <c r="A10" s="111"/>
      <c r="B10" s="337"/>
      <c r="C10" s="337" t="s">
        <v>2</v>
      </c>
      <c r="D10" s="337" t="s">
        <v>3</v>
      </c>
      <c r="E10" s="337" t="s">
        <v>4</v>
      </c>
      <c r="F10" s="340" t="s">
        <v>5</v>
      </c>
      <c r="G10" s="347"/>
      <c r="H10" s="347"/>
      <c r="I10" s="348"/>
      <c r="J10" s="337" t="s">
        <v>6</v>
      </c>
      <c r="K10" s="337" t="s">
        <v>7</v>
      </c>
      <c r="L10" s="337" t="s">
        <v>78</v>
      </c>
    </row>
    <row r="11" spans="1:12" ht="11.25" customHeight="1" thickBot="1">
      <c r="A11" s="111"/>
      <c r="B11" s="338"/>
      <c r="C11" s="338"/>
      <c r="D11" s="338"/>
      <c r="E11" s="338"/>
      <c r="F11" s="341"/>
      <c r="G11" s="349"/>
      <c r="H11" s="349"/>
      <c r="I11" s="350"/>
      <c r="J11" s="338"/>
      <c r="K11" s="338"/>
      <c r="L11" s="338"/>
    </row>
    <row r="12" spans="1:12" ht="7.5" customHeight="1" hidden="1" thickBot="1">
      <c r="A12" s="111"/>
      <c r="B12" s="338"/>
      <c r="C12" s="338"/>
      <c r="D12" s="338"/>
      <c r="E12" s="338"/>
      <c r="F12" s="341"/>
      <c r="G12" s="349"/>
      <c r="H12" s="349"/>
      <c r="I12" s="350"/>
      <c r="J12" s="120"/>
      <c r="K12" s="120"/>
      <c r="L12" s="338"/>
    </row>
    <row r="13" spans="1:12" ht="11.25" customHeight="1" hidden="1" thickBot="1">
      <c r="A13" s="111"/>
      <c r="B13" s="338"/>
      <c r="C13" s="338"/>
      <c r="D13" s="338"/>
      <c r="E13" s="338"/>
      <c r="F13" s="341"/>
      <c r="G13" s="349"/>
      <c r="H13" s="349"/>
      <c r="I13" s="350"/>
      <c r="J13" s="120"/>
      <c r="K13" s="120"/>
      <c r="L13" s="338"/>
    </row>
    <row r="14" spans="1:12" ht="16.5" customHeight="1" hidden="1" thickBot="1">
      <c r="A14" s="111"/>
      <c r="B14" s="119"/>
      <c r="C14" s="338"/>
      <c r="D14" s="338"/>
      <c r="E14" s="338"/>
      <c r="F14" s="342"/>
      <c r="G14" s="351"/>
      <c r="H14" s="351"/>
      <c r="I14" s="352"/>
      <c r="J14" s="122"/>
      <c r="K14" s="122"/>
      <c r="L14" s="338"/>
    </row>
    <row r="15" spans="1:12" ht="81.75" customHeight="1">
      <c r="A15" s="111"/>
      <c r="B15" s="338" t="s">
        <v>1</v>
      </c>
      <c r="C15" s="338"/>
      <c r="D15" s="338"/>
      <c r="E15" s="338"/>
      <c r="F15" s="357" t="s">
        <v>77</v>
      </c>
      <c r="G15" s="337" t="s">
        <v>12</v>
      </c>
      <c r="H15" s="340" t="s">
        <v>11</v>
      </c>
      <c r="I15" s="348"/>
      <c r="J15" s="337" t="s">
        <v>13</v>
      </c>
      <c r="K15" s="340" t="s">
        <v>14</v>
      </c>
      <c r="L15" s="338"/>
    </row>
    <row r="16" spans="1:12" ht="37.5" customHeight="1" hidden="1">
      <c r="A16" s="111"/>
      <c r="B16" s="338"/>
      <c r="C16" s="338"/>
      <c r="D16" s="338"/>
      <c r="E16" s="338"/>
      <c r="F16" s="358"/>
      <c r="G16" s="338"/>
      <c r="H16" s="341"/>
      <c r="I16" s="350"/>
      <c r="J16" s="338"/>
      <c r="K16" s="341"/>
      <c r="L16" s="338"/>
    </row>
    <row r="17" spans="1:12" ht="12.75" customHeight="1" hidden="1">
      <c r="A17" s="111"/>
      <c r="B17" s="338"/>
      <c r="C17" s="338"/>
      <c r="D17" s="338"/>
      <c r="E17" s="338"/>
      <c r="F17" s="358"/>
      <c r="G17" s="338"/>
      <c r="H17" s="341"/>
      <c r="I17" s="350"/>
      <c r="J17" s="338"/>
      <c r="K17" s="341"/>
      <c r="L17" s="338"/>
    </row>
    <row r="18" spans="1:12" ht="33" customHeight="1" thickBot="1">
      <c r="A18" s="111"/>
      <c r="B18" s="339"/>
      <c r="C18" s="339"/>
      <c r="D18" s="339"/>
      <c r="E18" s="339"/>
      <c r="F18" s="359"/>
      <c r="G18" s="339"/>
      <c r="H18" s="342"/>
      <c r="I18" s="352"/>
      <c r="J18" s="339"/>
      <c r="K18" s="342"/>
      <c r="L18" s="339"/>
    </row>
    <row r="19" spans="1:12" ht="19.5" thickBot="1">
      <c r="A19" s="111"/>
      <c r="B19" s="123">
        <v>1</v>
      </c>
      <c r="C19" s="121">
        <v>2</v>
      </c>
      <c r="D19" s="121">
        <v>3</v>
      </c>
      <c r="E19" s="121">
        <v>4</v>
      </c>
      <c r="F19" s="121">
        <v>5</v>
      </c>
      <c r="G19" s="121">
        <v>6</v>
      </c>
      <c r="H19" s="354">
        <v>7</v>
      </c>
      <c r="I19" s="356"/>
      <c r="J19" s="124">
        <v>8</v>
      </c>
      <c r="K19" s="124">
        <v>9</v>
      </c>
      <c r="L19" s="121">
        <v>10</v>
      </c>
    </row>
    <row r="20" spans="1:12" ht="24" customHeight="1" thickBot="1">
      <c r="A20" s="111"/>
      <c r="B20" s="354" t="s">
        <v>132</v>
      </c>
      <c r="C20" s="355"/>
      <c r="D20" s="355"/>
      <c r="E20" s="355"/>
      <c r="F20" s="355"/>
      <c r="G20" s="355"/>
      <c r="H20" s="355"/>
      <c r="I20" s="355"/>
      <c r="J20" s="355"/>
      <c r="K20" s="355"/>
      <c r="L20" s="356"/>
    </row>
    <row r="21" spans="1:12" s="55" customFormat="1" ht="19.5" thickBot="1">
      <c r="A21" s="125"/>
      <c r="B21" s="126" t="s">
        <v>129</v>
      </c>
      <c r="C21" s="127">
        <v>1</v>
      </c>
      <c r="D21" s="127"/>
      <c r="E21" s="128">
        <v>31510</v>
      </c>
      <c r="F21" s="128"/>
      <c r="G21" s="129"/>
      <c r="H21" s="360"/>
      <c r="I21" s="361"/>
      <c r="J21" s="131"/>
      <c r="K21" s="128"/>
      <c r="L21" s="128">
        <f>SUM(E21:K21)</f>
        <v>31510</v>
      </c>
    </row>
    <row r="22" spans="1:13" s="55" customFormat="1" ht="20.25" customHeight="1" thickBot="1">
      <c r="A22" s="125"/>
      <c r="B22" s="132" t="s">
        <v>130</v>
      </c>
      <c r="C22" s="133">
        <v>1</v>
      </c>
      <c r="D22" s="133"/>
      <c r="E22" s="134">
        <f>E21-(E21*5%)</f>
        <v>29934.5</v>
      </c>
      <c r="F22" s="134"/>
      <c r="G22" s="132"/>
      <c r="H22" s="362"/>
      <c r="I22" s="363"/>
      <c r="J22" s="132"/>
      <c r="K22" s="135"/>
      <c r="L22" s="128">
        <f>SUM(E22:K22)</f>
        <v>29934.5</v>
      </c>
      <c r="M22" s="57"/>
    </row>
    <row r="23" spans="1:13" s="55" customFormat="1" ht="20.25" customHeight="1" thickBot="1">
      <c r="A23" s="125"/>
      <c r="B23" s="136" t="s">
        <v>126</v>
      </c>
      <c r="C23" s="133">
        <v>1</v>
      </c>
      <c r="D23" s="133">
        <v>7</v>
      </c>
      <c r="E23" s="134">
        <v>4112</v>
      </c>
      <c r="F23" s="132"/>
      <c r="G23" s="132"/>
      <c r="H23" s="343"/>
      <c r="I23" s="344"/>
      <c r="J23" s="131"/>
      <c r="K23" s="139"/>
      <c r="L23" s="128">
        <f>SUM(E23:K23)</f>
        <v>4112</v>
      </c>
      <c r="M23" s="68"/>
    </row>
    <row r="24" spans="1:12" s="55" customFormat="1" ht="18" customHeight="1" thickBot="1">
      <c r="A24" s="125"/>
      <c r="B24" s="131" t="s">
        <v>8</v>
      </c>
      <c r="C24" s="140">
        <v>1</v>
      </c>
      <c r="D24" s="140">
        <v>8</v>
      </c>
      <c r="E24" s="141">
        <v>4379</v>
      </c>
      <c r="F24" s="142"/>
      <c r="G24" s="142"/>
      <c r="H24" s="343"/>
      <c r="I24" s="344"/>
      <c r="J24" s="142"/>
      <c r="K24" s="143"/>
      <c r="L24" s="128">
        <f>SUM(E24:K24)</f>
        <v>4379</v>
      </c>
    </row>
    <row r="25" spans="1:13" s="55" customFormat="1" ht="18" customHeight="1" thickBot="1">
      <c r="A25" s="125"/>
      <c r="B25" s="126" t="s">
        <v>202</v>
      </c>
      <c r="C25" s="127">
        <v>1</v>
      </c>
      <c r="D25" s="127">
        <v>8</v>
      </c>
      <c r="E25" s="128">
        <v>4379</v>
      </c>
      <c r="F25" s="122"/>
      <c r="G25" s="122"/>
      <c r="H25" s="137"/>
      <c r="I25" s="138"/>
      <c r="J25" s="142"/>
      <c r="K25" s="122"/>
      <c r="L25" s="128">
        <f>SUM(E25:K25)</f>
        <v>4379</v>
      </c>
      <c r="M25" s="68"/>
    </row>
    <row r="26" spans="1:13" s="55" customFormat="1" ht="19.5" thickBot="1">
      <c r="A26" s="125"/>
      <c r="B26" s="126" t="s">
        <v>9</v>
      </c>
      <c r="C26" s="127">
        <v>2</v>
      </c>
      <c r="D26" s="127">
        <v>6</v>
      </c>
      <c r="E26" s="128">
        <v>3872</v>
      </c>
      <c r="F26" s="129"/>
      <c r="G26" s="129"/>
      <c r="H26" s="343"/>
      <c r="I26" s="344"/>
      <c r="J26" s="131"/>
      <c r="K26" s="129"/>
      <c r="L26" s="128">
        <f>E26*C26</f>
        <v>7744</v>
      </c>
      <c r="M26" s="76"/>
    </row>
    <row r="27" spans="1:13" s="55" customFormat="1" ht="19.5" thickBot="1">
      <c r="A27" s="125"/>
      <c r="B27" s="126" t="s">
        <v>10</v>
      </c>
      <c r="C27" s="127">
        <v>2</v>
      </c>
      <c r="D27" s="127">
        <v>7</v>
      </c>
      <c r="E27" s="128">
        <v>4112</v>
      </c>
      <c r="F27" s="129"/>
      <c r="G27" s="129"/>
      <c r="H27" s="343"/>
      <c r="I27" s="344"/>
      <c r="J27" s="131"/>
      <c r="K27" s="129"/>
      <c r="L27" s="128">
        <f>C27*E27</f>
        <v>8224</v>
      </c>
      <c r="M27" s="68"/>
    </row>
    <row r="28" spans="1:13" s="55" customFormat="1" ht="19.5" thickBot="1">
      <c r="A28" s="125"/>
      <c r="B28" s="126" t="s">
        <v>104</v>
      </c>
      <c r="C28" s="127">
        <v>1</v>
      </c>
      <c r="D28" s="127">
        <v>6</v>
      </c>
      <c r="E28" s="128">
        <v>3872</v>
      </c>
      <c r="F28" s="129"/>
      <c r="G28" s="129"/>
      <c r="H28" s="343"/>
      <c r="I28" s="344"/>
      <c r="J28" s="131"/>
      <c r="K28" s="129"/>
      <c r="L28" s="128">
        <f>E28*C28</f>
        <v>3872</v>
      </c>
      <c r="M28" s="68"/>
    </row>
    <row r="29" spans="1:12" s="55" customFormat="1" ht="18.75" customHeight="1" thickBot="1">
      <c r="A29" s="125"/>
      <c r="B29" s="131" t="s">
        <v>168</v>
      </c>
      <c r="C29" s="127">
        <v>3</v>
      </c>
      <c r="D29" s="127">
        <v>8</v>
      </c>
      <c r="E29" s="128">
        <v>4379</v>
      </c>
      <c r="F29" s="129"/>
      <c r="G29" s="129"/>
      <c r="H29" s="343"/>
      <c r="I29" s="364"/>
      <c r="J29" s="131"/>
      <c r="K29" s="128">
        <f>(E29*C29)*30%</f>
        <v>3941.1</v>
      </c>
      <c r="L29" s="128">
        <f>E29*C29+K29</f>
        <v>17078.1</v>
      </c>
    </row>
    <row r="30" spans="1:12" s="55" customFormat="1" ht="57" thickBot="1">
      <c r="A30" s="125"/>
      <c r="B30" s="144" t="s">
        <v>183</v>
      </c>
      <c r="C30" s="145">
        <v>1</v>
      </c>
      <c r="D30" s="145">
        <v>10</v>
      </c>
      <c r="E30" s="146">
        <v>4859</v>
      </c>
      <c r="F30" s="146">
        <f>2670*28.3%</f>
        <v>755.6100000000001</v>
      </c>
      <c r="G30" s="145"/>
      <c r="H30" s="285">
        <f>(E30+F30)*0.15</f>
        <v>842.1915</v>
      </c>
      <c r="I30" s="286"/>
      <c r="J30" s="147"/>
      <c r="K30" s="146">
        <f>(E30+F30+H30)*0.3</f>
        <v>1937.04045</v>
      </c>
      <c r="L30" s="116">
        <f>E30+F30+H30+K30</f>
        <v>8393.84195</v>
      </c>
    </row>
    <row r="31" spans="1:12" s="55" customFormat="1" ht="19.5" thickBot="1">
      <c r="A31" s="125"/>
      <c r="B31" s="131" t="s">
        <v>213</v>
      </c>
      <c r="C31" s="148">
        <v>1</v>
      </c>
      <c r="D31" s="140">
        <v>7</v>
      </c>
      <c r="E31" s="149">
        <v>4112</v>
      </c>
      <c r="F31" s="142"/>
      <c r="G31" s="142"/>
      <c r="H31" s="345"/>
      <c r="I31" s="346"/>
      <c r="J31" s="140"/>
      <c r="K31" s="140"/>
      <c r="L31" s="128">
        <f>(E31*C31)+F31+G31+I31+J31+K31</f>
        <v>4112</v>
      </c>
    </row>
    <row r="32" spans="1:13" s="55" customFormat="1" ht="19.5" thickBot="1">
      <c r="A32" s="125"/>
      <c r="B32" s="150" t="s">
        <v>40</v>
      </c>
      <c r="C32" s="145">
        <v>1</v>
      </c>
      <c r="D32" s="145"/>
      <c r="E32" s="151">
        <f>E21-(E21*15%)</f>
        <v>26783.5</v>
      </c>
      <c r="F32" s="145"/>
      <c r="G32" s="145"/>
      <c r="H32" s="353"/>
      <c r="I32" s="286"/>
      <c r="J32" s="152"/>
      <c r="K32" s="147"/>
      <c r="L32" s="146">
        <f>(E32*C32)+F32+G32+H32+K32</f>
        <v>26783.5</v>
      </c>
      <c r="M32" s="68"/>
    </row>
    <row r="33" spans="1:13" s="55" customFormat="1" ht="17.25" customHeight="1" thickBot="1">
      <c r="A33" s="125"/>
      <c r="B33" s="153" t="s">
        <v>41</v>
      </c>
      <c r="C33" s="147">
        <v>1</v>
      </c>
      <c r="D33" s="145"/>
      <c r="E33" s="146">
        <f>E32-(E32*10%)</f>
        <v>24105.15</v>
      </c>
      <c r="F33" s="147"/>
      <c r="G33" s="147"/>
      <c r="H33" s="285"/>
      <c r="I33" s="286"/>
      <c r="J33" s="152"/>
      <c r="K33" s="147"/>
      <c r="L33" s="146">
        <f>(E33*C33)+F33+G33+H33+K33</f>
        <v>24105.15</v>
      </c>
      <c r="M33" s="76"/>
    </row>
    <row r="34" spans="1:13" s="55" customFormat="1" ht="19.5" customHeight="1" thickBot="1">
      <c r="A34" s="125"/>
      <c r="B34" s="153" t="s">
        <v>226</v>
      </c>
      <c r="C34" s="147">
        <v>1</v>
      </c>
      <c r="D34" s="147">
        <v>7</v>
      </c>
      <c r="E34" s="146">
        <v>4112</v>
      </c>
      <c r="F34" s="147"/>
      <c r="G34" s="147"/>
      <c r="H34" s="310"/>
      <c r="I34" s="311"/>
      <c r="J34" s="152"/>
      <c r="K34" s="147"/>
      <c r="L34" s="146">
        <f>(E34*C34)+F34+G34+I34+K34</f>
        <v>4112</v>
      </c>
      <c r="M34" s="68"/>
    </row>
    <row r="35" spans="1:13" s="55" customFormat="1" ht="19.5" thickBot="1">
      <c r="A35" s="125"/>
      <c r="B35" s="153" t="s">
        <v>103</v>
      </c>
      <c r="C35" s="147">
        <v>1</v>
      </c>
      <c r="D35" s="147">
        <v>10</v>
      </c>
      <c r="E35" s="146">
        <v>4859</v>
      </c>
      <c r="F35" s="147"/>
      <c r="G35" s="147"/>
      <c r="H35" s="310"/>
      <c r="I35" s="311"/>
      <c r="J35" s="152"/>
      <c r="K35" s="147"/>
      <c r="L35" s="146">
        <f>(E35*C35)+F35+G35+I35+K35</f>
        <v>4859</v>
      </c>
      <c r="M35" s="68"/>
    </row>
    <row r="36" spans="1:13" s="55" customFormat="1" ht="19.5" thickBot="1">
      <c r="A36" s="125"/>
      <c r="B36" s="153" t="s">
        <v>214</v>
      </c>
      <c r="C36" s="147">
        <v>2</v>
      </c>
      <c r="D36" s="147">
        <v>9</v>
      </c>
      <c r="E36" s="146">
        <v>4619</v>
      </c>
      <c r="F36" s="147"/>
      <c r="G36" s="147"/>
      <c r="H36" s="310"/>
      <c r="I36" s="311"/>
      <c r="J36" s="152"/>
      <c r="K36" s="147"/>
      <c r="L36" s="146">
        <f>(E36*C36)+F36+G36+I36+K36</f>
        <v>9238</v>
      </c>
      <c r="M36" s="68"/>
    </row>
    <row r="37" spans="1:13" s="55" customFormat="1" ht="19.5" thickBot="1">
      <c r="A37" s="125"/>
      <c r="B37" s="154" t="s">
        <v>42</v>
      </c>
      <c r="C37" s="155">
        <v>1</v>
      </c>
      <c r="D37" s="155">
        <v>7</v>
      </c>
      <c r="E37" s="156">
        <v>4112</v>
      </c>
      <c r="F37" s="155"/>
      <c r="G37" s="155"/>
      <c r="H37" s="332"/>
      <c r="I37" s="333"/>
      <c r="J37" s="158"/>
      <c r="K37" s="155"/>
      <c r="L37" s="159">
        <f>(E37*C37)+F37+G37+I37+K37</f>
        <v>4112</v>
      </c>
      <c r="M37" s="68"/>
    </row>
    <row r="38" spans="1:13" s="55" customFormat="1" ht="38.25" thickBot="1">
      <c r="A38" s="125"/>
      <c r="B38" s="152" t="s">
        <v>204</v>
      </c>
      <c r="C38" s="145">
        <v>1</v>
      </c>
      <c r="D38" s="145">
        <v>7</v>
      </c>
      <c r="E38" s="159">
        <v>4112</v>
      </c>
      <c r="F38" s="145"/>
      <c r="G38" s="145"/>
      <c r="H38" s="310"/>
      <c r="I38" s="311"/>
      <c r="J38" s="152"/>
      <c r="K38" s="145"/>
      <c r="L38" s="159">
        <f>(E38*C38)+F38+G38+I38+K38</f>
        <v>4112</v>
      </c>
      <c r="M38" s="68"/>
    </row>
    <row r="39" spans="1:12" ht="15.75" customHeight="1">
      <c r="A39" s="111"/>
      <c r="B39" s="338" t="s">
        <v>15</v>
      </c>
      <c r="C39" s="366">
        <f>C21+C22+C23+C24+C25+C26+C27+C28+C29+C30+C31+C32+C33+C34+C35+C36+C37+C38</f>
        <v>23</v>
      </c>
      <c r="D39" s="338"/>
      <c r="E39" s="366"/>
      <c r="F39" s="366">
        <f>F30</f>
        <v>755.6100000000001</v>
      </c>
      <c r="G39" s="338"/>
      <c r="H39" s="371">
        <f>H30</f>
        <v>842.1915</v>
      </c>
      <c r="I39" s="372"/>
      <c r="J39" s="368"/>
      <c r="K39" s="373">
        <f>K29+K30</f>
        <v>5878.14045</v>
      </c>
      <c r="L39" s="366">
        <f>L21+L22+L23+L24+L25+L26+L27+L28+L29+L30+L31+L32+L33+L34+L35+L36+L37+L38</f>
        <v>201060.09195</v>
      </c>
    </row>
    <row r="40" spans="1:12" ht="14.25" customHeight="1">
      <c r="A40" s="111"/>
      <c r="B40" s="338"/>
      <c r="C40" s="366"/>
      <c r="D40" s="338"/>
      <c r="E40" s="338"/>
      <c r="F40" s="338"/>
      <c r="G40" s="338"/>
      <c r="H40" s="30" t="s">
        <v>64</v>
      </c>
      <c r="I40" s="31">
        <f>C21+C22</f>
        <v>2</v>
      </c>
      <c r="J40" s="369"/>
      <c r="K40" s="338"/>
      <c r="L40" s="338"/>
    </row>
    <row r="41" spans="1:13" ht="12.75" customHeight="1">
      <c r="A41" s="111"/>
      <c r="B41" s="338"/>
      <c r="C41" s="366"/>
      <c r="D41" s="338"/>
      <c r="E41" s="338"/>
      <c r="F41" s="338"/>
      <c r="G41" s="338"/>
      <c r="H41" s="30" t="s">
        <v>57</v>
      </c>
      <c r="I41" s="31">
        <f>C29+C30</f>
        <v>4</v>
      </c>
      <c r="J41" s="369"/>
      <c r="K41" s="338"/>
      <c r="L41" s="338"/>
      <c r="M41" s="6"/>
    </row>
    <row r="42" spans="1:12" ht="12.75" customHeight="1">
      <c r="A42" s="111"/>
      <c r="B42" s="338"/>
      <c r="C42" s="366"/>
      <c r="D42" s="338"/>
      <c r="E42" s="338"/>
      <c r="F42" s="338"/>
      <c r="G42" s="338"/>
      <c r="H42" s="30" t="s">
        <v>58</v>
      </c>
      <c r="I42" s="60">
        <f>C23+C24+C25+C26+C27+C28+C32+C33+C34+C35+C36+C37+C38</f>
        <v>16</v>
      </c>
      <c r="J42" s="369"/>
      <c r="K42" s="338"/>
      <c r="L42" s="338"/>
    </row>
    <row r="43" spans="1:13" ht="43.5" customHeight="1" thickBot="1">
      <c r="A43" s="111"/>
      <c r="B43" s="339"/>
      <c r="C43" s="367"/>
      <c r="D43" s="339"/>
      <c r="E43" s="339"/>
      <c r="F43" s="339"/>
      <c r="G43" s="339"/>
      <c r="H43" s="29" t="s">
        <v>85</v>
      </c>
      <c r="I43" s="269">
        <f>C31</f>
        <v>1</v>
      </c>
      <c r="J43" s="370"/>
      <c r="K43" s="339"/>
      <c r="L43" s="339"/>
      <c r="M43" s="6"/>
    </row>
    <row r="44" spans="1:13" ht="0.75" customHeight="1" thickBot="1">
      <c r="A44" s="111"/>
      <c r="B44" s="162"/>
      <c r="C44" s="163"/>
      <c r="D44" s="165"/>
      <c r="E44" s="165"/>
      <c r="F44" s="166"/>
      <c r="G44" s="167"/>
      <c r="H44" s="168"/>
      <c r="I44" s="161"/>
      <c r="J44" s="165"/>
      <c r="K44" s="166"/>
      <c r="L44" s="166"/>
      <c r="M44" s="6"/>
    </row>
    <row r="45" spans="1:12" ht="0.75" customHeight="1">
      <c r="A45" s="111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</row>
    <row r="46" spans="1:12" ht="0.75" customHeight="1">
      <c r="A46" s="111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</row>
    <row r="47" spans="1:12" ht="0.75" customHeight="1">
      <c r="A47" s="111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</row>
    <row r="48" spans="1:12" ht="0.75" customHeight="1">
      <c r="A48" s="111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</row>
    <row r="49" spans="1:12" ht="0.75" customHeight="1">
      <c r="A49" s="111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</row>
    <row r="50" spans="1:12" ht="0.75" customHeight="1">
      <c r="A50" s="111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</row>
    <row r="51" spans="1:12" ht="15.75" customHeight="1" thickBot="1">
      <c r="A51" s="111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</row>
    <row r="52" spans="1:12" ht="19.5" thickBot="1">
      <c r="A52" s="111"/>
      <c r="B52" s="306" t="s">
        <v>133</v>
      </c>
      <c r="C52" s="307"/>
      <c r="D52" s="307"/>
      <c r="E52" s="307"/>
      <c r="F52" s="307"/>
      <c r="G52" s="307"/>
      <c r="H52" s="307"/>
      <c r="I52" s="307"/>
      <c r="J52" s="307"/>
      <c r="K52" s="307"/>
      <c r="L52" s="308"/>
    </row>
    <row r="53" spans="1:13" s="55" customFormat="1" ht="38.25" thickBot="1">
      <c r="A53" s="125"/>
      <c r="B53" s="153" t="s">
        <v>145</v>
      </c>
      <c r="C53" s="147">
        <v>1</v>
      </c>
      <c r="D53" s="147">
        <v>6</v>
      </c>
      <c r="E53" s="146">
        <v>3872</v>
      </c>
      <c r="F53" s="147"/>
      <c r="G53" s="147"/>
      <c r="H53" s="310"/>
      <c r="I53" s="311"/>
      <c r="J53" s="147"/>
      <c r="K53" s="146">
        <f>E53*0.2</f>
        <v>774.4000000000001</v>
      </c>
      <c r="L53" s="146">
        <f>SUM(E53:K53)</f>
        <v>4646.4</v>
      </c>
      <c r="M53" s="68"/>
    </row>
    <row r="54" spans="1:13" s="55" customFormat="1" ht="38.25" thickBot="1">
      <c r="A54" s="125"/>
      <c r="B54" s="153" t="s">
        <v>145</v>
      </c>
      <c r="C54" s="147">
        <v>1</v>
      </c>
      <c r="D54" s="147">
        <v>7</v>
      </c>
      <c r="E54" s="146">
        <v>4112</v>
      </c>
      <c r="F54" s="147"/>
      <c r="G54" s="147"/>
      <c r="H54" s="310"/>
      <c r="I54" s="311"/>
      <c r="J54" s="147"/>
      <c r="K54" s="146">
        <f>E54*0.3</f>
        <v>1233.6</v>
      </c>
      <c r="L54" s="146">
        <f>SUM(E54:K54)</f>
        <v>5345.6</v>
      </c>
      <c r="M54" s="68"/>
    </row>
    <row r="55" spans="1:13" s="55" customFormat="1" ht="57" thickBot="1">
      <c r="A55" s="125"/>
      <c r="B55" s="153" t="s">
        <v>146</v>
      </c>
      <c r="C55" s="147">
        <v>1</v>
      </c>
      <c r="D55" s="147">
        <v>3</v>
      </c>
      <c r="E55" s="146">
        <v>3151</v>
      </c>
      <c r="F55" s="147"/>
      <c r="G55" s="147"/>
      <c r="H55" s="332"/>
      <c r="I55" s="333"/>
      <c r="J55" s="146">
        <f>E55*0.1</f>
        <v>315.1</v>
      </c>
      <c r="K55" s="146"/>
      <c r="L55" s="146">
        <f>SUM(E55:K55)</f>
        <v>3466.1</v>
      </c>
      <c r="M55" s="68"/>
    </row>
    <row r="56" spans="1:12" ht="18.75">
      <c r="A56" s="111"/>
      <c r="B56" s="298" t="s">
        <v>15</v>
      </c>
      <c r="C56" s="298">
        <f>SUM(C53:C55)</f>
        <v>3</v>
      </c>
      <c r="D56" s="293"/>
      <c r="E56" s="317">
        <f>E53+E54+E55</f>
        <v>11135</v>
      </c>
      <c r="F56" s="317"/>
      <c r="G56" s="365"/>
      <c r="H56" s="173" t="s">
        <v>65</v>
      </c>
      <c r="I56" s="174">
        <f>C53+C54</f>
        <v>2</v>
      </c>
      <c r="J56" s="309">
        <f>SUM(J53:J55)</f>
        <v>315.1</v>
      </c>
      <c r="K56" s="292">
        <f>SUM(K53:K55)</f>
        <v>2008</v>
      </c>
      <c r="L56" s="292">
        <f>SUM(L53:L55)</f>
        <v>13458.1</v>
      </c>
    </row>
    <row r="57" spans="1:13" ht="16.5" customHeight="1" thickBot="1">
      <c r="A57" s="111"/>
      <c r="B57" s="297"/>
      <c r="C57" s="297"/>
      <c r="D57" s="295"/>
      <c r="E57" s="319"/>
      <c r="F57" s="319"/>
      <c r="G57" s="315"/>
      <c r="H57" s="177" t="s">
        <v>66</v>
      </c>
      <c r="I57" s="178">
        <f>C55</f>
        <v>1</v>
      </c>
      <c r="J57" s="331"/>
      <c r="K57" s="284"/>
      <c r="L57" s="284"/>
      <c r="M57" s="6"/>
    </row>
    <row r="58" spans="1:12" ht="15.75" customHeight="1" hidden="1">
      <c r="A58" s="111"/>
      <c r="B58" s="180" t="s">
        <v>17</v>
      </c>
      <c r="C58" s="180"/>
      <c r="D58" s="180"/>
      <c r="E58" s="180"/>
      <c r="F58" s="180"/>
      <c r="G58" s="180"/>
      <c r="H58" s="169"/>
      <c r="I58" s="169"/>
      <c r="J58" s="180"/>
      <c r="K58" s="180"/>
      <c r="L58" s="180"/>
    </row>
    <row r="59" spans="1:12" ht="16.5" customHeight="1" hidden="1" thickBot="1">
      <c r="A59" s="111"/>
      <c r="B59" s="306"/>
      <c r="C59" s="307"/>
      <c r="D59" s="307"/>
      <c r="E59" s="307"/>
      <c r="F59" s="307"/>
      <c r="G59" s="307"/>
      <c r="H59" s="307"/>
      <c r="I59" s="307"/>
      <c r="J59" s="307"/>
      <c r="K59" s="307"/>
      <c r="L59" s="308"/>
    </row>
    <row r="60" spans="1:12" s="10" customFormat="1" ht="16.5" customHeight="1" hidden="1" thickBot="1">
      <c r="A60" s="113"/>
      <c r="B60" s="152"/>
      <c r="C60" s="110"/>
      <c r="D60" s="110"/>
      <c r="E60" s="116"/>
      <c r="F60" s="110"/>
      <c r="G60" s="116"/>
      <c r="H60" s="310"/>
      <c r="I60" s="311"/>
      <c r="J60" s="110"/>
      <c r="K60" s="110"/>
      <c r="L60" s="116"/>
    </row>
    <row r="61" spans="1:12" s="10" customFormat="1" ht="16.5" customHeight="1" hidden="1" thickBot="1">
      <c r="A61" s="113"/>
      <c r="B61" s="153"/>
      <c r="C61" s="147"/>
      <c r="D61" s="147"/>
      <c r="E61" s="146"/>
      <c r="F61" s="147"/>
      <c r="G61" s="146"/>
      <c r="H61" s="310"/>
      <c r="I61" s="311"/>
      <c r="J61" s="147"/>
      <c r="K61" s="116"/>
      <c r="L61" s="116"/>
    </row>
    <row r="62" spans="1:12" s="10" customFormat="1" ht="16.5" customHeight="1" hidden="1" thickBot="1">
      <c r="A62" s="113"/>
      <c r="B62" s="153"/>
      <c r="C62" s="147"/>
      <c r="D62" s="147"/>
      <c r="E62" s="146"/>
      <c r="F62" s="147"/>
      <c r="G62" s="147"/>
      <c r="H62" s="310"/>
      <c r="I62" s="311"/>
      <c r="J62" s="147"/>
      <c r="K62" s="116"/>
      <c r="L62" s="116"/>
    </row>
    <row r="63" spans="1:12" s="10" customFormat="1" ht="16.5" customHeight="1" hidden="1" thickBot="1">
      <c r="A63" s="113"/>
      <c r="B63" s="153"/>
      <c r="C63" s="147"/>
      <c r="D63" s="147"/>
      <c r="E63" s="146"/>
      <c r="F63" s="147"/>
      <c r="G63" s="147"/>
      <c r="H63" s="310"/>
      <c r="I63" s="311"/>
      <c r="J63" s="147"/>
      <c r="K63" s="110"/>
      <c r="L63" s="116"/>
    </row>
    <row r="64" spans="1:12" s="10" customFormat="1" ht="16.5" customHeight="1" hidden="1" thickBot="1">
      <c r="A64" s="113"/>
      <c r="B64" s="153"/>
      <c r="C64" s="147"/>
      <c r="D64" s="147"/>
      <c r="E64" s="146"/>
      <c r="F64" s="147"/>
      <c r="G64" s="147"/>
      <c r="H64" s="310"/>
      <c r="I64" s="311"/>
      <c r="J64" s="147"/>
      <c r="K64" s="110"/>
      <c r="L64" s="116"/>
    </row>
    <row r="65" spans="1:12" s="10" customFormat="1" ht="16.5" customHeight="1" hidden="1" thickBot="1">
      <c r="A65" s="113"/>
      <c r="B65" s="153"/>
      <c r="C65" s="147"/>
      <c r="D65" s="147"/>
      <c r="E65" s="146"/>
      <c r="F65" s="147"/>
      <c r="G65" s="147"/>
      <c r="H65" s="310"/>
      <c r="I65" s="311"/>
      <c r="J65" s="147"/>
      <c r="K65" s="110"/>
      <c r="L65" s="116"/>
    </row>
    <row r="66" spans="1:12" s="10" customFormat="1" ht="16.5" customHeight="1" hidden="1" thickBot="1">
      <c r="A66" s="113"/>
      <c r="B66" s="153"/>
      <c r="C66" s="147"/>
      <c r="D66" s="147"/>
      <c r="E66" s="146"/>
      <c r="F66" s="147"/>
      <c r="G66" s="147"/>
      <c r="H66" s="310"/>
      <c r="I66" s="311"/>
      <c r="J66" s="147"/>
      <c r="K66" s="116"/>
      <c r="L66" s="116"/>
    </row>
    <row r="67" spans="1:12" s="10" customFormat="1" ht="16.5" customHeight="1" hidden="1" thickBot="1">
      <c r="A67" s="113"/>
      <c r="B67" s="153"/>
      <c r="C67" s="147"/>
      <c r="D67" s="147"/>
      <c r="E67" s="146"/>
      <c r="F67" s="147"/>
      <c r="G67" s="147"/>
      <c r="H67" s="310"/>
      <c r="I67" s="311"/>
      <c r="J67" s="147"/>
      <c r="K67" s="110"/>
      <c r="L67" s="116"/>
    </row>
    <row r="68" spans="1:12" s="10" customFormat="1" ht="16.5" customHeight="1" hidden="1" thickBot="1">
      <c r="A68" s="113"/>
      <c r="B68" s="153"/>
      <c r="C68" s="147"/>
      <c r="D68" s="147"/>
      <c r="E68" s="146"/>
      <c r="F68" s="147"/>
      <c r="G68" s="147"/>
      <c r="H68" s="310"/>
      <c r="I68" s="311"/>
      <c r="J68" s="147"/>
      <c r="K68" s="110"/>
      <c r="L68" s="116"/>
    </row>
    <row r="69" spans="1:12" s="10" customFormat="1" ht="16.5" customHeight="1" hidden="1" thickBot="1">
      <c r="A69" s="113"/>
      <c r="B69" s="153"/>
      <c r="C69" s="147"/>
      <c r="D69" s="147"/>
      <c r="E69" s="146"/>
      <c r="F69" s="147"/>
      <c r="G69" s="147"/>
      <c r="H69" s="310"/>
      <c r="I69" s="311"/>
      <c r="J69" s="146"/>
      <c r="K69" s="110"/>
      <c r="L69" s="116"/>
    </row>
    <row r="70" spans="1:12" ht="16.5" customHeight="1" hidden="1" thickBot="1">
      <c r="A70" s="111"/>
      <c r="B70" s="153"/>
      <c r="C70" s="147"/>
      <c r="D70" s="147"/>
      <c r="E70" s="146"/>
      <c r="F70" s="147"/>
      <c r="G70" s="147"/>
      <c r="H70" s="310"/>
      <c r="I70" s="311"/>
      <c r="J70" s="146"/>
      <c r="K70" s="110"/>
      <c r="L70" s="116"/>
    </row>
    <row r="71" spans="1:12" ht="15.75" customHeight="1" hidden="1">
      <c r="A71" s="111"/>
      <c r="B71" s="298"/>
      <c r="C71" s="298"/>
      <c r="D71" s="298"/>
      <c r="E71" s="298"/>
      <c r="F71" s="298"/>
      <c r="G71" s="292"/>
      <c r="H71" s="181"/>
      <c r="I71" s="182"/>
      <c r="J71" s="292"/>
      <c r="K71" s="298"/>
      <c r="L71" s="292"/>
    </row>
    <row r="72" spans="1:13" ht="15.75" customHeight="1" hidden="1">
      <c r="A72" s="111"/>
      <c r="B72" s="296"/>
      <c r="C72" s="296"/>
      <c r="D72" s="296"/>
      <c r="E72" s="296"/>
      <c r="F72" s="296"/>
      <c r="G72" s="283"/>
      <c r="H72" s="181"/>
      <c r="I72" s="183"/>
      <c r="J72" s="283"/>
      <c r="K72" s="296"/>
      <c r="L72" s="283"/>
      <c r="M72" s="6"/>
    </row>
    <row r="73" spans="1:12" ht="16.5" customHeight="1" hidden="1" thickBot="1">
      <c r="A73" s="111"/>
      <c r="B73" s="297"/>
      <c r="C73" s="297"/>
      <c r="D73" s="297"/>
      <c r="E73" s="297"/>
      <c r="F73" s="297"/>
      <c r="G73" s="284"/>
      <c r="H73" s="184"/>
      <c r="I73" s="185"/>
      <c r="J73" s="284"/>
      <c r="K73" s="297"/>
      <c r="L73" s="284"/>
    </row>
    <row r="74" spans="1:12" ht="16.5" customHeight="1" thickBot="1">
      <c r="A74" s="111"/>
      <c r="B74" s="167"/>
      <c r="C74" s="186"/>
      <c r="D74" s="186"/>
      <c r="E74" s="186"/>
      <c r="F74" s="186"/>
      <c r="G74" s="187"/>
      <c r="H74" s="188"/>
      <c r="I74" s="189"/>
      <c r="J74" s="187"/>
      <c r="K74" s="186"/>
      <c r="L74" s="179"/>
    </row>
    <row r="75" spans="1:12" ht="19.5" thickBot="1">
      <c r="A75" s="111"/>
      <c r="B75" s="306" t="s">
        <v>134</v>
      </c>
      <c r="C75" s="307"/>
      <c r="D75" s="307"/>
      <c r="E75" s="307"/>
      <c r="F75" s="307"/>
      <c r="G75" s="307"/>
      <c r="H75" s="307"/>
      <c r="I75" s="307"/>
      <c r="J75" s="307"/>
      <c r="K75" s="307"/>
      <c r="L75" s="308"/>
    </row>
    <row r="76" spans="1:13" s="55" customFormat="1" ht="17.25" customHeight="1" thickBot="1">
      <c r="A76" s="125"/>
      <c r="B76" s="153" t="s">
        <v>141</v>
      </c>
      <c r="C76" s="147">
        <v>0.25</v>
      </c>
      <c r="D76" s="147">
        <v>11</v>
      </c>
      <c r="E76" s="146">
        <v>5260</v>
      </c>
      <c r="F76" s="147"/>
      <c r="G76" s="147"/>
      <c r="H76" s="285">
        <f>(E76*C76)*0.15</f>
        <v>197.25</v>
      </c>
      <c r="I76" s="286"/>
      <c r="J76" s="147"/>
      <c r="K76" s="146">
        <f>((E76*C76)+H76)*0.3</f>
        <v>453.675</v>
      </c>
      <c r="L76" s="146">
        <f>(E76*C76)+F76+G76+H76+J76+K76</f>
        <v>1965.925</v>
      </c>
      <c r="M76" s="68"/>
    </row>
    <row r="77" spans="1:13" s="11" customFormat="1" ht="18" customHeight="1" thickBot="1">
      <c r="A77" s="113"/>
      <c r="B77" s="153" t="s">
        <v>141</v>
      </c>
      <c r="C77" s="147">
        <v>0.25</v>
      </c>
      <c r="D77" s="147">
        <v>11</v>
      </c>
      <c r="E77" s="146">
        <v>5260</v>
      </c>
      <c r="F77" s="147"/>
      <c r="G77" s="147"/>
      <c r="H77" s="285">
        <f>(E77*C77)*0.15</f>
        <v>197.25</v>
      </c>
      <c r="I77" s="286"/>
      <c r="J77" s="147"/>
      <c r="K77" s="146"/>
      <c r="L77" s="146">
        <f>(E77*C77)+F77+G77+H77+J77+K77</f>
        <v>1512.25</v>
      </c>
      <c r="M77" s="77"/>
    </row>
    <row r="78" spans="1:13" s="55" customFormat="1" ht="37.5" customHeight="1" thickBot="1">
      <c r="A78" s="125"/>
      <c r="B78" s="153" t="s">
        <v>147</v>
      </c>
      <c r="C78" s="147">
        <v>0.25</v>
      </c>
      <c r="D78" s="147">
        <v>8</v>
      </c>
      <c r="E78" s="146">
        <v>4379</v>
      </c>
      <c r="F78" s="147"/>
      <c r="G78" s="147"/>
      <c r="H78" s="285">
        <f>(E78*C78)*0.15</f>
        <v>164.2125</v>
      </c>
      <c r="I78" s="286"/>
      <c r="J78" s="146">
        <f>((E78*C78)+H78)*0.1</f>
        <v>125.89625000000001</v>
      </c>
      <c r="K78" s="146">
        <f>((E78*C78)+H78)*0.3</f>
        <v>377.68875</v>
      </c>
      <c r="L78" s="146">
        <f>(E78*C78)+F78+G78+H78+J78+K78</f>
        <v>1762.5475000000001</v>
      </c>
      <c r="M78" s="68"/>
    </row>
    <row r="79" spans="1:12" s="11" customFormat="1" ht="37.5" customHeight="1" thickBot="1">
      <c r="A79" s="113"/>
      <c r="B79" s="153" t="s">
        <v>147</v>
      </c>
      <c r="C79" s="155">
        <v>0.25</v>
      </c>
      <c r="D79" s="155"/>
      <c r="E79" s="156">
        <v>2626</v>
      </c>
      <c r="F79" s="155"/>
      <c r="G79" s="155"/>
      <c r="H79" s="285">
        <f>(E79*C79)*0.15</f>
        <v>98.475</v>
      </c>
      <c r="I79" s="286"/>
      <c r="J79" s="146">
        <f>((E79*C79)+H79)*0.1</f>
        <v>75.4975</v>
      </c>
      <c r="K79" s="156"/>
      <c r="L79" s="146">
        <f>(E79*C79)+F79+G79+H79+J79+K79+0.01</f>
        <v>830.4825000000001</v>
      </c>
    </row>
    <row r="80" spans="1:13" s="11" customFormat="1" ht="36.75" customHeight="1" thickBot="1">
      <c r="A80" s="113"/>
      <c r="B80" s="153" t="s">
        <v>147</v>
      </c>
      <c r="C80" s="190">
        <v>0.25</v>
      </c>
      <c r="D80" s="190">
        <v>7</v>
      </c>
      <c r="E80" s="164">
        <v>4112</v>
      </c>
      <c r="F80" s="191"/>
      <c r="G80" s="191"/>
      <c r="H80" s="285">
        <f>(E80*C80)*0.15</f>
        <v>154.2</v>
      </c>
      <c r="I80" s="286"/>
      <c r="J80" s="146">
        <f>((E80*C80)+H80)*0.1</f>
        <v>118.22000000000001</v>
      </c>
      <c r="K80" s="164"/>
      <c r="L80" s="146">
        <f>(E80*C80)+F80+G80+H80+J80+K80</f>
        <v>1300.42</v>
      </c>
      <c r="M80" s="79"/>
    </row>
    <row r="81" spans="1:13" s="11" customFormat="1" ht="35.25" customHeight="1" thickBot="1">
      <c r="A81" s="113"/>
      <c r="B81" s="153" t="s">
        <v>146</v>
      </c>
      <c r="C81" s="190">
        <v>0.25</v>
      </c>
      <c r="D81" s="190">
        <v>3</v>
      </c>
      <c r="E81" s="192">
        <v>3151</v>
      </c>
      <c r="F81" s="145"/>
      <c r="G81" s="145"/>
      <c r="H81" s="376"/>
      <c r="I81" s="377"/>
      <c r="J81" s="146">
        <f>((E81*C81)+H81)*0.1</f>
        <v>78.775</v>
      </c>
      <c r="K81" s="164"/>
      <c r="L81" s="146">
        <f>(E81*C81)+F81+G81+H81+J81+K81</f>
        <v>866.525</v>
      </c>
      <c r="M81" s="79"/>
    </row>
    <row r="82" spans="1:12" ht="15.75" customHeight="1">
      <c r="A82" s="111"/>
      <c r="B82" s="304" t="s">
        <v>38</v>
      </c>
      <c r="C82" s="283">
        <f>C76+C77+C78+C80+C81</f>
        <v>1.25</v>
      </c>
      <c r="D82" s="296"/>
      <c r="E82" s="296"/>
      <c r="F82" s="296"/>
      <c r="G82" s="296"/>
      <c r="H82" s="290">
        <f>SUM(H76:I79)</f>
        <v>657.1875</v>
      </c>
      <c r="I82" s="291"/>
      <c r="J82" s="283">
        <f>J78+J80+J81</f>
        <v>322.89125</v>
      </c>
      <c r="K82" s="283">
        <f>K76+K77+K78+K80</f>
        <v>831.36375</v>
      </c>
      <c r="L82" s="283">
        <f>L76+L77+L78+L80+L81</f>
        <v>7407.6675</v>
      </c>
    </row>
    <row r="83" spans="1:12" ht="18.75" customHeight="1">
      <c r="A83" s="111"/>
      <c r="B83" s="304"/>
      <c r="C83" s="283"/>
      <c r="D83" s="296"/>
      <c r="E83" s="296"/>
      <c r="F83" s="296"/>
      <c r="G83" s="296"/>
      <c r="H83" s="194" t="s">
        <v>72</v>
      </c>
      <c r="I83" s="183">
        <f>C76+C77</f>
        <v>0.5</v>
      </c>
      <c r="J83" s="283"/>
      <c r="K83" s="283"/>
      <c r="L83" s="283"/>
    </row>
    <row r="84" spans="1:13" ht="17.25" customHeight="1">
      <c r="A84" s="111"/>
      <c r="B84" s="304"/>
      <c r="C84" s="283"/>
      <c r="D84" s="296"/>
      <c r="E84" s="296"/>
      <c r="F84" s="296"/>
      <c r="G84" s="296"/>
      <c r="H84" s="194" t="s">
        <v>73</v>
      </c>
      <c r="I84" s="195">
        <f>C78+C80</f>
        <v>0.5</v>
      </c>
      <c r="J84" s="283"/>
      <c r="K84" s="283"/>
      <c r="L84" s="283"/>
      <c r="M84" s="6"/>
    </row>
    <row r="85" spans="1:12" ht="18.75" customHeight="1" thickBot="1">
      <c r="A85" s="111"/>
      <c r="B85" s="305"/>
      <c r="C85" s="284"/>
      <c r="D85" s="297"/>
      <c r="E85" s="297"/>
      <c r="F85" s="297"/>
      <c r="G85" s="297"/>
      <c r="H85" s="177" t="s">
        <v>66</v>
      </c>
      <c r="I85" s="185">
        <f>C81</f>
        <v>0.25</v>
      </c>
      <c r="J85" s="284"/>
      <c r="K85" s="284"/>
      <c r="L85" s="284"/>
    </row>
    <row r="86" spans="1:12" ht="16.5" customHeight="1" thickBot="1">
      <c r="A86" s="111"/>
      <c r="B86" s="167"/>
      <c r="C86" s="186"/>
      <c r="D86" s="186"/>
      <c r="E86" s="186"/>
      <c r="F86" s="186"/>
      <c r="G86" s="187"/>
      <c r="H86" s="188"/>
      <c r="I86" s="189"/>
      <c r="J86" s="187"/>
      <c r="K86" s="186"/>
      <c r="L86" s="179"/>
    </row>
    <row r="87" spans="1:12" ht="16.5" customHeight="1" thickBot="1">
      <c r="A87" s="111"/>
      <c r="B87" s="306" t="s">
        <v>139</v>
      </c>
      <c r="C87" s="307"/>
      <c r="D87" s="307"/>
      <c r="E87" s="307"/>
      <c r="F87" s="307"/>
      <c r="G87" s="307"/>
      <c r="H87" s="307"/>
      <c r="I87" s="307"/>
      <c r="J87" s="307"/>
      <c r="K87" s="307"/>
      <c r="L87" s="308"/>
    </row>
    <row r="88" spans="1:12" s="55" customFormat="1" ht="19.5" thickBot="1">
      <c r="A88" s="125"/>
      <c r="B88" s="153" t="s">
        <v>101</v>
      </c>
      <c r="C88" s="147">
        <v>1</v>
      </c>
      <c r="D88" s="147">
        <v>4</v>
      </c>
      <c r="E88" s="146">
        <v>3391</v>
      </c>
      <c r="F88" s="147"/>
      <c r="G88" s="147"/>
      <c r="H88" s="310"/>
      <c r="I88" s="311"/>
      <c r="J88" s="152"/>
      <c r="K88" s="155"/>
      <c r="L88" s="146">
        <f>E88*C88</f>
        <v>3391</v>
      </c>
    </row>
    <row r="89" spans="1:12" s="11" customFormat="1" ht="0.75" customHeight="1" thickBot="1">
      <c r="A89" s="113"/>
      <c r="B89" s="196" t="s">
        <v>89</v>
      </c>
      <c r="C89" s="170">
        <v>0.25</v>
      </c>
      <c r="D89" s="170">
        <v>4</v>
      </c>
      <c r="E89" s="171">
        <v>2670</v>
      </c>
      <c r="F89" s="171"/>
      <c r="G89" s="172"/>
      <c r="H89" s="365"/>
      <c r="I89" s="374"/>
      <c r="J89" s="198"/>
      <c r="K89" s="171"/>
      <c r="L89" s="171" t="e">
        <f>(C89*E89)+F89+G89+H89+J89+K89+#REF!</f>
        <v>#REF!</v>
      </c>
    </row>
    <row r="90" spans="1:13" s="55" customFormat="1" ht="19.5" customHeight="1" thickBot="1">
      <c r="A90" s="125"/>
      <c r="B90" s="153" t="s">
        <v>43</v>
      </c>
      <c r="C90" s="147">
        <v>0.5</v>
      </c>
      <c r="D90" s="147">
        <v>2</v>
      </c>
      <c r="E90" s="146">
        <v>2910</v>
      </c>
      <c r="F90" s="147"/>
      <c r="G90" s="147"/>
      <c r="H90" s="315">
        <f>(E90*C90)*0.2</f>
        <v>291</v>
      </c>
      <c r="I90" s="316"/>
      <c r="J90" s="159">
        <f>((E90*C90)+H90)*0.04</f>
        <v>69.84</v>
      </c>
      <c r="K90" s="145"/>
      <c r="L90" s="146">
        <f>(C90*E90)+F90+G90+H90+J90+K90</f>
        <v>1815.84</v>
      </c>
      <c r="M90" s="68"/>
    </row>
    <row r="91" spans="1:12" s="11" customFormat="1" ht="0.75" customHeight="1" thickBot="1">
      <c r="A91" s="113"/>
      <c r="B91" s="385"/>
      <c r="C91" s="293"/>
      <c r="D91" s="293"/>
      <c r="E91" s="317"/>
      <c r="F91" s="293"/>
      <c r="G91" s="332"/>
      <c r="H91" s="365"/>
      <c r="I91" s="374"/>
      <c r="J91" s="293"/>
      <c r="K91" s="293"/>
      <c r="L91" s="293"/>
    </row>
    <row r="92" spans="1:12" s="11" customFormat="1" ht="21.75" customHeight="1" hidden="1" thickBot="1">
      <c r="A92" s="113"/>
      <c r="B92" s="386"/>
      <c r="C92" s="295"/>
      <c r="D92" s="295"/>
      <c r="E92" s="319"/>
      <c r="F92" s="295"/>
      <c r="G92" s="380"/>
      <c r="H92" s="315"/>
      <c r="I92" s="316"/>
      <c r="J92" s="295"/>
      <c r="K92" s="295"/>
      <c r="L92" s="295"/>
    </row>
    <row r="93" spans="1:13" s="55" customFormat="1" ht="57" thickBot="1">
      <c r="A93" s="125"/>
      <c r="B93" s="153" t="s">
        <v>74</v>
      </c>
      <c r="C93" s="147">
        <v>2</v>
      </c>
      <c r="D93" s="147">
        <v>3</v>
      </c>
      <c r="E93" s="146">
        <v>3151</v>
      </c>
      <c r="F93" s="147"/>
      <c r="G93" s="147"/>
      <c r="H93" s="310"/>
      <c r="I93" s="311"/>
      <c r="J93" s="145"/>
      <c r="K93" s="147"/>
      <c r="L93" s="146">
        <f aca="true" t="shared" si="0" ref="L93:L102">(C93*E93)+F93+G93+I93+J93+K93</f>
        <v>6302</v>
      </c>
      <c r="M93" s="68"/>
    </row>
    <row r="94" spans="1:12" s="55" customFormat="1" ht="19.5" customHeight="1" thickBot="1">
      <c r="A94" s="125"/>
      <c r="B94" s="153" t="s">
        <v>44</v>
      </c>
      <c r="C94" s="147">
        <v>3</v>
      </c>
      <c r="D94" s="147">
        <v>3</v>
      </c>
      <c r="E94" s="146">
        <v>3151</v>
      </c>
      <c r="F94" s="147"/>
      <c r="G94" s="147"/>
      <c r="H94" s="310"/>
      <c r="I94" s="311"/>
      <c r="J94" s="159">
        <f>(E94*C94)*0.04</f>
        <v>378.12</v>
      </c>
      <c r="K94" s="147"/>
      <c r="L94" s="146">
        <f t="shared" si="0"/>
        <v>9831.12</v>
      </c>
    </row>
    <row r="95" spans="1:13" s="55" customFormat="1" ht="57" thickBot="1">
      <c r="A95" s="125"/>
      <c r="B95" s="153" t="s">
        <v>153</v>
      </c>
      <c r="C95" s="147">
        <v>1</v>
      </c>
      <c r="D95" s="147">
        <v>4</v>
      </c>
      <c r="E95" s="146">
        <v>3391</v>
      </c>
      <c r="F95" s="147"/>
      <c r="G95" s="147"/>
      <c r="H95" s="310"/>
      <c r="I95" s="311"/>
      <c r="J95" s="145"/>
      <c r="K95" s="147"/>
      <c r="L95" s="146">
        <f t="shared" si="0"/>
        <v>3391</v>
      </c>
      <c r="M95" s="68"/>
    </row>
    <row r="96" spans="1:13" s="55" customFormat="1" ht="57" thickBot="1">
      <c r="A96" s="125"/>
      <c r="B96" s="153" t="s">
        <v>153</v>
      </c>
      <c r="C96" s="147">
        <v>1</v>
      </c>
      <c r="D96" s="147">
        <v>3</v>
      </c>
      <c r="E96" s="146">
        <v>3151</v>
      </c>
      <c r="F96" s="147"/>
      <c r="G96" s="147"/>
      <c r="H96" s="117"/>
      <c r="I96" s="110"/>
      <c r="J96" s="145"/>
      <c r="K96" s="147"/>
      <c r="L96" s="146">
        <f t="shared" si="0"/>
        <v>3151</v>
      </c>
      <c r="M96" s="75"/>
    </row>
    <row r="97" spans="1:13" s="55" customFormat="1" ht="39.75" customHeight="1" thickBot="1">
      <c r="A97" s="125"/>
      <c r="B97" s="153" t="s">
        <v>86</v>
      </c>
      <c r="C97" s="147">
        <v>1</v>
      </c>
      <c r="D97" s="147">
        <v>4</v>
      </c>
      <c r="E97" s="146">
        <v>3391</v>
      </c>
      <c r="F97" s="147"/>
      <c r="G97" s="147"/>
      <c r="H97" s="310"/>
      <c r="I97" s="311"/>
      <c r="J97" s="159">
        <f>E97*0.04</f>
        <v>135.64000000000001</v>
      </c>
      <c r="K97" s="147"/>
      <c r="L97" s="146">
        <f t="shared" si="0"/>
        <v>3526.64</v>
      </c>
      <c r="M97" s="68"/>
    </row>
    <row r="98" spans="1:13" s="55" customFormat="1" ht="40.5" customHeight="1" thickBot="1">
      <c r="A98" s="125"/>
      <c r="B98" s="153" t="s">
        <v>87</v>
      </c>
      <c r="C98" s="147">
        <v>1.5</v>
      </c>
      <c r="D98" s="147">
        <v>3</v>
      </c>
      <c r="E98" s="146">
        <v>3151</v>
      </c>
      <c r="F98" s="147"/>
      <c r="G98" s="147"/>
      <c r="H98" s="310"/>
      <c r="I98" s="311"/>
      <c r="J98" s="159">
        <f>(E98*C98)*0.04</f>
        <v>189.06</v>
      </c>
      <c r="K98" s="147"/>
      <c r="L98" s="146">
        <f t="shared" si="0"/>
        <v>4915.56</v>
      </c>
      <c r="M98" s="68"/>
    </row>
    <row r="99" spans="1:13" s="55" customFormat="1" ht="20.25" customHeight="1" thickBot="1">
      <c r="A99" s="125"/>
      <c r="B99" s="153" t="s">
        <v>45</v>
      </c>
      <c r="C99" s="147">
        <v>1.5</v>
      </c>
      <c r="D99" s="147">
        <v>2</v>
      </c>
      <c r="E99" s="146">
        <v>2910</v>
      </c>
      <c r="F99" s="147"/>
      <c r="G99" s="147"/>
      <c r="H99" s="310"/>
      <c r="I99" s="311"/>
      <c r="J99" s="145"/>
      <c r="K99" s="147"/>
      <c r="L99" s="146">
        <f t="shared" si="0"/>
        <v>4365</v>
      </c>
      <c r="M99" s="68"/>
    </row>
    <row r="100" spans="1:13" s="55" customFormat="1" ht="18.75" customHeight="1" thickBot="1">
      <c r="A100" s="125"/>
      <c r="B100" s="153" t="s">
        <v>46</v>
      </c>
      <c r="C100" s="147">
        <v>1</v>
      </c>
      <c r="D100" s="147">
        <v>1</v>
      </c>
      <c r="E100" s="146">
        <v>2670</v>
      </c>
      <c r="F100" s="147"/>
      <c r="G100" s="147"/>
      <c r="H100" s="310"/>
      <c r="I100" s="311"/>
      <c r="J100" s="145"/>
      <c r="K100" s="147"/>
      <c r="L100" s="146">
        <f t="shared" si="0"/>
        <v>2670</v>
      </c>
      <c r="M100" s="68"/>
    </row>
    <row r="101" spans="1:13" s="55" customFormat="1" ht="19.5" thickBot="1">
      <c r="A101" s="125"/>
      <c r="B101" s="153" t="s">
        <v>127</v>
      </c>
      <c r="C101" s="147">
        <v>0.5</v>
      </c>
      <c r="D101" s="147">
        <v>1</v>
      </c>
      <c r="E101" s="146">
        <v>2670</v>
      </c>
      <c r="F101" s="147"/>
      <c r="G101" s="147"/>
      <c r="H101" s="310"/>
      <c r="I101" s="311"/>
      <c r="J101" s="159">
        <f>E101*C101*0.1</f>
        <v>133.5</v>
      </c>
      <c r="K101" s="147"/>
      <c r="L101" s="146">
        <f t="shared" si="0"/>
        <v>1468.5</v>
      </c>
      <c r="M101" s="68"/>
    </row>
    <row r="102" spans="1:13" s="55" customFormat="1" ht="19.5" thickBot="1">
      <c r="A102" s="125"/>
      <c r="B102" s="153" t="s">
        <v>127</v>
      </c>
      <c r="C102" s="147">
        <v>0.5</v>
      </c>
      <c r="D102" s="147">
        <v>1</v>
      </c>
      <c r="E102" s="146">
        <v>2670</v>
      </c>
      <c r="F102" s="147"/>
      <c r="G102" s="147"/>
      <c r="H102" s="117"/>
      <c r="I102" s="110"/>
      <c r="J102" s="159"/>
      <c r="K102" s="147"/>
      <c r="L102" s="146">
        <f t="shared" si="0"/>
        <v>1335</v>
      </c>
      <c r="M102" s="68"/>
    </row>
    <row r="103" spans="1:13" s="55" customFormat="1" ht="19.5" thickBot="1">
      <c r="A103" s="125"/>
      <c r="B103" s="153" t="s">
        <v>127</v>
      </c>
      <c r="C103" s="147">
        <v>0.75</v>
      </c>
      <c r="D103" s="147">
        <v>1</v>
      </c>
      <c r="E103" s="146">
        <v>2670</v>
      </c>
      <c r="F103" s="147"/>
      <c r="G103" s="147"/>
      <c r="H103" s="117"/>
      <c r="I103" s="110"/>
      <c r="J103" s="159"/>
      <c r="K103" s="147"/>
      <c r="L103" s="146">
        <f>E103*C103</f>
        <v>2002.5</v>
      </c>
      <c r="M103" s="68"/>
    </row>
    <row r="104" spans="1:12" s="55" customFormat="1" ht="18.75" customHeight="1" thickBot="1">
      <c r="A104" s="125"/>
      <c r="B104" s="153" t="s">
        <v>47</v>
      </c>
      <c r="C104" s="147">
        <v>3</v>
      </c>
      <c r="D104" s="147">
        <v>3</v>
      </c>
      <c r="E104" s="146">
        <v>3151</v>
      </c>
      <c r="F104" s="146">
        <f>(E104*C104)*0.2</f>
        <v>1890.6000000000001</v>
      </c>
      <c r="G104" s="147"/>
      <c r="H104" s="310"/>
      <c r="I104" s="311"/>
      <c r="J104" s="152"/>
      <c r="K104" s="146">
        <f>(E104*C104)*0.25</f>
        <v>2363.25</v>
      </c>
      <c r="L104" s="146">
        <f>(C104*E104)+F104+G104+I104+J104+K104</f>
        <v>13706.85</v>
      </c>
    </row>
    <row r="105" spans="1:13" s="55" customFormat="1" ht="38.25" thickBot="1">
      <c r="A105" s="125"/>
      <c r="B105" s="153" t="s">
        <v>47</v>
      </c>
      <c r="C105" s="147">
        <v>2</v>
      </c>
      <c r="D105" s="147">
        <v>3</v>
      </c>
      <c r="E105" s="146">
        <v>3151</v>
      </c>
      <c r="F105" s="146">
        <f>(E105*C105)*0.2</f>
        <v>1260.4</v>
      </c>
      <c r="G105" s="147"/>
      <c r="H105" s="310"/>
      <c r="I105" s="311"/>
      <c r="J105" s="152"/>
      <c r="K105" s="146"/>
      <c r="L105" s="146">
        <f>(C105*E105)+F105+G105+I105+J105+K105</f>
        <v>7562.4</v>
      </c>
      <c r="M105" s="68"/>
    </row>
    <row r="106" spans="1:13" s="55" customFormat="1" ht="18.75" customHeight="1" thickBot="1">
      <c r="A106" s="125"/>
      <c r="B106" s="153" t="s">
        <v>123</v>
      </c>
      <c r="C106" s="147">
        <v>0.25</v>
      </c>
      <c r="D106" s="147">
        <v>5</v>
      </c>
      <c r="E106" s="146">
        <v>3631</v>
      </c>
      <c r="F106" s="147"/>
      <c r="G106" s="147"/>
      <c r="H106" s="310"/>
      <c r="I106" s="311"/>
      <c r="J106" s="145">
        <f>(E106*C106)*0.04</f>
        <v>36.31</v>
      </c>
      <c r="K106" s="147"/>
      <c r="L106" s="146">
        <f>(C106*E106)+F106+G106+I106+J106+K106</f>
        <v>944.06</v>
      </c>
      <c r="M106" s="68"/>
    </row>
    <row r="107" spans="1:12" s="55" customFormat="1" ht="18" customHeight="1" thickBot="1">
      <c r="A107" s="125"/>
      <c r="B107" s="153" t="s">
        <v>48</v>
      </c>
      <c r="C107" s="147">
        <v>2</v>
      </c>
      <c r="D107" s="147">
        <v>1</v>
      </c>
      <c r="E107" s="146">
        <v>2670</v>
      </c>
      <c r="F107" s="147"/>
      <c r="G107" s="147"/>
      <c r="H107" s="310"/>
      <c r="I107" s="311"/>
      <c r="J107" s="152"/>
      <c r="K107" s="147"/>
      <c r="L107" s="146">
        <f>(C107*E107)+F107+G107+I107+J107+K107</f>
        <v>5340</v>
      </c>
    </row>
    <row r="108" spans="1:12" s="55" customFormat="1" ht="18.75" customHeight="1" thickBot="1">
      <c r="A108" s="125"/>
      <c r="B108" s="153" t="s">
        <v>49</v>
      </c>
      <c r="C108" s="147">
        <v>4.75</v>
      </c>
      <c r="D108" s="147">
        <v>1</v>
      </c>
      <c r="E108" s="146">
        <v>2670</v>
      </c>
      <c r="F108" s="147"/>
      <c r="G108" s="147"/>
      <c r="H108" s="310"/>
      <c r="I108" s="311"/>
      <c r="J108" s="152"/>
      <c r="K108" s="147"/>
      <c r="L108" s="146">
        <f>(C108*E108)+F108+G108+I108+J108+K108</f>
        <v>12682.5</v>
      </c>
    </row>
    <row r="109" spans="1:12" ht="18.75">
      <c r="A109" s="111"/>
      <c r="B109" s="381" t="s">
        <v>39</v>
      </c>
      <c r="C109" s="298">
        <f>C88+C90+C93+C94+C95+C96+C97+C98+C99+C100+C101+C102+C103+C104+C105+C106+C107+C108</f>
        <v>27.25</v>
      </c>
      <c r="D109" s="298"/>
      <c r="E109" s="292"/>
      <c r="F109" s="292">
        <f>SUM(F88:F108)</f>
        <v>3151</v>
      </c>
      <c r="G109" s="324"/>
      <c r="H109" s="299">
        <f>SUM(H88:I108)</f>
        <v>291</v>
      </c>
      <c r="I109" s="309"/>
      <c r="J109" s="309">
        <f>SUM(J88:J108)</f>
        <v>942.47</v>
      </c>
      <c r="K109" s="292">
        <f>SUM(K88:K108)</f>
        <v>2363.25</v>
      </c>
      <c r="L109" s="292">
        <f>L88+L90+L93+L94+L95+L96+L97+L98+L99+L100+L101+L102+L103+L104+L105+L106+L107+L108</f>
        <v>88400.96999999999</v>
      </c>
    </row>
    <row r="110" spans="1:13" ht="57" thickBot="1">
      <c r="A110" s="111"/>
      <c r="B110" s="305"/>
      <c r="C110" s="297"/>
      <c r="D110" s="297"/>
      <c r="E110" s="284"/>
      <c r="F110" s="284"/>
      <c r="G110" s="326"/>
      <c r="H110" s="167" t="s">
        <v>75</v>
      </c>
      <c r="I110" s="200">
        <f>C88+C90+C93+C94+C95+C96+C97+C98+C99+C100+C101+C102+C103+C104+C105+C106+C107+C108</f>
        <v>27.25</v>
      </c>
      <c r="J110" s="331"/>
      <c r="K110" s="284"/>
      <c r="L110" s="297"/>
      <c r="M110" s="6"/>
    </row>
    <row r="111" spans="1:12" ht="16.5" customHeight="1" thickBot="1">
      <c r="A111" s="111"/>
      <c r="B111" s="167"/>
      <c r="C111" s="186"/>
      <c r="D111" s="186"/>
      <c r="E111" s="186"/>
      <c r="F111" s="186"/>
      <c r="G111" s="187"/>
      <c r="H111" s="188"/>
      <c r="I111" s="189"/>
      <c r="J111" s="187"/>
      <c r="K111" s="186"/>
      <c r="L111" s="179"/>
    </row>
    <row r="112" spans="1:12" ht="19.5" thickBot="1">
      <c r="A112" s="111"/>
      <c r="B112" s="306" t="s">
        <v>135</v>
      </c>
      <c r="C112" s="307"/>
      <c r="D112" s="307"/>
      <c r="E112" s="307"/>
      <c r="F112" s="307"/>
      <c r="G112" s="307"/>
      <c r="H112" s="307"/>
      <c r="I112" s="307"/>
      <c r="J112" s="307"/>
      <c r="K112" s="307"/>
      <c r="L112" s="308"/>
    </row>
    <row r="113" spans="1:12" s="55" customFormat="1" ht="38.25" thickBot="1">
      <c r="A113" s="125"/>
      <c r="B113" s="153" t="s">
        <v>154</v>
      </c>
      <c r="C113" s="145">
        <v>1</v>
      </c>
      <c r="D113" s="147">
        <v>12</v>
      </c>
      <c r="E113" s="146">
        <v>5660</v>
      </c>
      <c r="F113" s="146">
        <f>E113*0.1</f>
        <v>566</v>
      </c>
      <c r="G113" s="146">
        <f>(E113+F113)*0.15</f>
        <v>933.9</v>
      </c>
      <c r="H113" s="285"/>
      <c r="I113" s="286"/>
      <c r="J113" s="147"/>
      <c r="K113" s="146">
        <f>(E113+F113+G113)*0.3</f>
        <v>2147.97</v>
      </c>
      <c r="L113" s="201">
        <f>(E113*C113)+F113+G113+I113+J113+K113</f>
        <v>9307.869999999999</v>
      </c>
    </row>
    <row r="114" spans="1:12" s="55" customFormat="1" ht="17.25" customHeight="1" thickBot="1">
      <c r="A114" s="125"/>
      <c r="B114" s="153" t="s">
        <v>35</v>
      </c>
      <c r="C114" s="145">
        <v>0.5</v>
      </c>
      <c r="D114" s="147">
        <v>12</v>
      </c>
      <c r="E114" s="146">
        <v>5660</v>
      </c>
      <c r="F114" s="146"/>
      <c r="G114" s="146">
        <f>(E114*C114)*0.15</f>
        <v>424.5</v>
      </c>
      <c r="H114" s="285"/>
      <c r="I114" s="286"/>
      <c r="J114" s="147"/>
      <c r="K114" s="146">
        <f>((E114*C114)+G114)*0.3</f>
        <v>976.3499999999999</v>
      </c>
      <c r="L114" s="201">
        <f>(E114*C114)+F114+G114+I114+J114+K114</f>
        <v>4230.85</v>
      </c>
    </row>
    <row r="115" spans="1:13" s="55" customFormat="1" ht="16.5" customHeight="1" thickBot="1">
      <c r="A115" s="125"/>
      <c r="B115" s="153" t="s">
        <v>142</v>
      </c>
      <c r="C115" s="145">
        <v>1</v>
      </c>
      <c r="D115" s="147">
        <v>10</v>
      </c>
      <c r="E115" s="146">
        <v>4859</v>
      </c>
      <c r="F115" s="146"/>
      <c r="G115" s="146">
        <f>(E115*C115)*0.15</f>
        <v>728.85</v>
      </c>
      <c r="H115" s="115"/>
      <c r="I115" s="116"/>
      <c r="J115" s="147"/>
      <c r="K115" s="146">
        <f>(E115+G115)*10%</f>
        <v>558.7850000000001</v>
      </c>
      <c r="L115" s="201">
        <f>(E115*C115)+F115+G115+I115+J115+K115</f>
        <v>6146.635</v>
      </c>
      <c r="M115" s="68"/>
    </row>
    <row r="116" spans="1:13" s="55" customFormat="1" ht="19.5" customHeight="1" thickBot="1">
      <c r="A116" s="125"/>
      <c r="B116" s="152" t="s">
        <v>131</v>
      </c>
      <c r="C116" s="145">
        <v>1</v>
      </c>
      <c r="D116" s="145">
        <v>9</v>
      </c>
      <c r="E116" s="159">
        <v>4619</v>
      </c>
      <c r="F116" s="159"/>
      <c r="G116" s="159">
        <f>E116*0.15</f>
        <v>692.85</v>
      </c>
      <c r="H116" s="285"/>
      <c r="I116" s="286"/>
      <c r="J116" s="159">
        <f>(E116+G116)*0.1</f>
        <v>531.1850000000001</v>
      </c>
      <c r="K116" s="159">
        <f>(E116+G116)*0.3</f>
        <v>1593.555</v>
      </c>
      <c r="L116" s="201">
        <f>(E116*C116)+F116+G116+I116+J116+K116+0.01</f>
        <v>7436.600000000001</v>
      </c>
      <c r="M116" s="68"/>
    </row>
    <row r="117" spans="1:13" s="55" customFormat="1" ht="18" customHeight="1" thickBot="1">
      <c r="A117" s="125"/>
      <c r="B117" s="153" t="s">
        <v>131</v>
      </c>
      <c r="C117" s="175">
        <v>1</v>
      </c>
      <c r="D117" s="147">
        <v>7</v>
      </c>
      <c r="E117" s="146">
        <v>4112</v>
      </c>
      <c r="F117" s="146"/>
      <c r="G117" s="146">
        <f>(E117*C117)*0.15</f>
        <v>616.8</v>
      </c>
      <c r="H117" s="285"/>
      <c r="I117" s="286"/>
      <c r="J117" s="146">
        <f>((E117*C117)+G117)*0.1</f>
        <v>472.88000000000005</v>
      </c>
      <c r="K117" s="159">
        <f>(E117+G117)*0.3</f>
        <v>1418.64</v>
      </c>
      <c r="L117" s="201">
        <f>(E117*C117)+F117+G117+I117+J117+K117</f>
        <v>6620.320000000001</v>
      </c>
      <c r="M117" s="68"/>
    </row>
    <row r="118" spans="1:12" s="11" customFormat="1" ht="19.5" hidden="1" thickBot="1">
      <c r="A118" s="113"/>
      <c r="B118" s="153"/>
      <c r="C118" s="145"/>
      <c r="D118" s="147"/>
      <c r="E118" s="146"/>
      <c r="F118" s="146"/>
      <c r="G118" s="146"/>
      <c r="H118" s="285"/>
      <c r="I118" s="286"/>
      <c r="J118" s="146"/>
      <c r="K118" s="159"/>
      <c r="L118" s="201"/>
    </row>
    <row r="119" spans="1:13" s="55" customFormat="1" ht="19.5" thickBot="1">
      <c r="A119" s="125"/>
      <c r="B119" s="153" t="s">
        <v>36</v>
      </c>
      <c r="C119" s="145">
        <v>1</v>
      </c>
      <c r="D119" s="147">
        <v>9</v>
      </c>
      <c r="E119" s="146">
        <v>4619</v>
      </c>
      <c r="F119" s="146"/>
      <c r="G119" s="146">
        <f>E119*0.15</f>
        <v>692.85</v>
      </c>
      <c r="H119" s="285"/>
      <c r="I119" s="286"/>
      <c r="J119" s="146">
        <f>(E119+G119)*0.1</f>
        <v>531.1850000000001</v>
      </c>
      <c r="K119" s="146">
        <f>(E119+G119)*0.3</f>
        <v>1593.555</v>
      </c>
      <c r="L119" s="201">
        <f>(E119*C119)+F119+G119+I119+J119+K119+0.01</f>
        <v>7436.600000000001</v>
      </c>
      <c r="M119" s="68"/>
    </row>
    <row r="120" spans="1:13" s="55" customFormat="1" ht="19.5" thickBot="1">
      <c r="A120" s="125"/>
      <c r="B120" s="153" t="s">
        <v>36</v>
      </c>
      <c r="C120" s="145">
        <v>1</v>
      </c>
      <c r="D120" s="147">
        <v>8</v>
      </c>
      <c r="E120" s="146">
        <v>4379</v>
      </c>
      <c r="F120" s="146"/>
      <c r="G120" s="146">
        <f>(E120*C120)*0.15</f>
        <v>656.85</v>
      </c>
      <c r="H120" s="285"/>
      <c r="I120" s="286"/>
      <c r="J120" s="146">
        <f>((E120*C120)+G120)*0.1</f>
        <v>503.58500000000004</v>
      </c>
      <c r="K120" s="146">
        <f>((E120*C120)+G120)*0.3</f>
        <v>1510.755</v>
      </c>
      <c r="L120" s="201">
        <f>(E120*C120)+F120+G120+I120+J120+K120+0.01</f>
        <v>7050.200000000001</v>
      </c>
      <c r="M120" s="68"/>
    </row>
    <row r="121" spans="1:13" s="55" customFormat="1" ht="19.5" thickBot="1">
      <c r="A121" s="125"/>
      <c r="B121" s="153" t="s">
        <v>36</v>
      </c>
      <c r="C121" s="145">
        <v>1</v>
      </c>
      <c r="D121" s="147">
        <v>7</v>
      </c>
      <c r="E121" s="146">
        <v>4112</v>
      </c>
      <c r="F121" s="146"/>
      <c r="G121" s="146">
        <f>E121*0.15</f>
        <v>616.8</v>
      </c>
      <c r="H121" s="285"/>
      <c r="I121" s="286"/>
      <c r="J121" s="146">
        <f>(E121+G121)*0.1</f>
        <v>472.88000000000005</v>
      </c>
      <c r="K121" s="146">
        <f>((E121*C121)+G121)*0.2</f>
        <v>945.7600000000001</v>
      </c>
      <c r="L121" s="201">
        <f>(E121*C121)+F121+G121+I121+J121+K121</f>
        <v>6147.4400000000005</v>
      </c>
      <c r="M121" s="68"/>
    </row>
    <row r="122" spans="1:13" s="55" customFormat="1" ht="19.5" thickBot="1">
      <c r="A122" s="125"/>
      <c r="B122" s="153" t="s">
        <v>36</v>
      </c>
      <c r="C122" s="145">
        <v>1</v>
      </c>
      <c r="D122" s="147">
        <v>7</v>
      </c>
      <c r="E122" s="146">
        <v>4112</v>
      </c>
      <c r="F122" s="146"/>
      <c r="G122" s="146">
        <f>E122*0.15</f>
        <v>616.8</v>
      </c>
      <c r="H122" s="285"/>
      <c r="I122" s="286"/>
      <c r="J122" s="146">
        <f>(E122+G122)*0.1</f>
        <v>472.88000000000005</v>
      </c>
      <c r="K122" s="146">
        <f>(E122+G122)*0.2</f>
        <v>945.7600000000001</v>
      </c>
      <c r="L122" s="201">
        <f>(E122*C122)+F122+G122+I122+J122+K122</f>
        <v>6147.4400000000005</v>
      </c>
      <c r="M122" s="68"/>
    </row>
    <row r="123" spans="1:12" s="11" customFormat="1" ht="18.75" customHeight="1" thickBot="1">
      <c r="A123" s="113"/>
      <c r="B123" s="153" t="s">
        <v>36</v>
      </c>
      <c r="C123" s="145">
        <v>1</v>
      </c>
      <c r="D123" s="147">
        <v>7</v>
      </c>
      <c r="E123" s="146">
        <v>4112</v>
      </c>
      <c r="F123" s="146"/>
      <c r="G123" s="146">
        <f>E123*0.15</f>
        <v>616.8</v>
      </c>
      <c r="H123" s="172"/>
      <c r="I123" s="197"/>
      <c r="J123" s="146">
        <f>(E123+G123)*0.1</f>
        <v>472.88000000000005</v>
      </c>
      <c r="K123" s="155"/>
      <c r="L123" s="201">
        <f>(E123*C123)+F123+G123+I123+J123+K123</f>
        <v>5201.68</v>
      </c>
    </row>
    <row r="124" spans="1:12" s="11" customFormat="1" ht="15.75" customHeight="1" hidden="1" thickBot="1">
      <c r="A124" s="113"/>
      <c r="B124" s="153"/>
      <c r="C124" s="145"/>
      <c r="D124" s="147"/>
      <c r="E124" s="146"/>
      <c r="F124" s="146"/>
      <c r="G124" s="202"/>
      <c r="H124" s="203"/>
      <c r="I124" s="203"/>
      <c r="J124" s="146">
        <f>(E124+G124)*0.1</f>
        <v>0</v>
      </c>
      <c r="K124" s="204"/>
      <c r="L124" s="205"/>
    </row>
    <row r="125" spans="1:13" s="55" customFormat="1" ht="33.75" customHeight="1" thickBot="1">
      <c r="A125" s="125"/>
      <c r="B125" s="153" t="s">
        <v>146</v>
      </c>
      <c r="C125" s="145">
        <v>1.5</v>
      </c>
      <c r="D125" s="145">
        <v>3</v>
      </c>
      <c r="E125" s="159">
        <v>3151</v>
      </c>
      <c r="F125" s="159"/>
      <c r="G125" s="115"/>
      <c r="H125" s="288"/>
      <c r="I125" s="289"/>
      <c r="J125" s="151">
        <f>(E125*C125)*0.1</f>
        <v>472.65000000000003</v>
      </c>
      <c r="K125" s="145"/>
      <c r="L125" s="206">
        <f>(E125*C125)+F125+G125+I125+J125+K125</f>
        <v>5199.15</v>
      </c>
      <c r="M125" s="68"/>
    </row>
    <row r="126" spans="1:12" s="11" customFormat="1" ht="18" customHeight="1">
      <c r="A126" s="207"/>
      <c r="B126" s="154"/>
      <c r="C126" s="298">
        <f>SUM(C113:C125)</f>
        <v>11</v>
      </c>
      <c r="D126" s="293"/>
      <c r="E126" s="208"/>
      <c r="F126" s="208"/>
      <c r="G126" s="209"/>
      <c r="H126" s="210" t="s">
        <v>99</v>
      </c>
      <c r="I126" s="211">
        <f>C115</f>
        <v>1</v>
      </c>
      <c r="J126" s="212"/>
      <c r="K126" s="213"/>
      <c r="L126" s="214"/>
    </row>
    <row r="127" spans="1:12" ht="37.5">
      <c r="A127" s="111"/>
      <c r="B127" s="296" t="s">
        <v>37</v>
      </c>
      <c r="C127" s="378"/>
      <c r="D127" s="378"/>
      <c r="E127" s="296"/>
      <c r="F127" s="283">
        <f>SUM(F113:F125)</f>
        <v>566</v>
      </c>
      <c r="G127" s="290">
        <f>SUM(G113:G125)</f>
        <v>6597</v>
      </c>
      <c r="H127" s="215" t="s">
        <v>69</v>
      </c>
      <c r="I127" s="216">
        <f>C116+C117+C118+C119+C120+C121+C122+C123</f>
        <v>7</v>
      </c>
      <c r="J127" s="382">
        <f>SUM(J113:J125)</f>
        <v>3930.1250000000005</v>
      </c>
      <c r="K127" s="382">
        <f>SUM(K113:K125)</f>
        <v>11691.130000000001</v>
      </c>
      <c r="L127" s="382">
        <f>SUM(L113:L125)</f>
        <v>70924.785</v>
      </c>
    </row>
    <row r="128" spans="1:12" ht="17.25" customHeight="1">
      <c r="A128" s="111"/>
      <c r="B128" s="296"/>
      <c r="C128" s="378"/>
      <c r="D128" s="378"/>
      <c r="E128" s="296"/>
      <c r="F128" s="296"/>
      <c r="G128" s="325"/>
      <c r="H128" s="215" t="s">
        <v>70</v>
      </c>
      <c r="I128" s="216">
        <f>C125</f>
        <v>1.5</v>
      </c>
      <c r="J128" s="382"/>
      <c r="K128" s="382"/>
      <c r="L128" s="382"/>
    </row>
    <row r="129" spans="1:13" ht="42" customHeight="1" thickBot="1">
      <c r="A129" s="111"/>
      <c r="B129" s="297"/>
      <c r="C129" s="379"/>
      <c r="D129" s="379"/>
      <c r="E129" s="297"/>
      <c r="F129" s="297"/>
      <c r="G129" s="326"/>
      <c r="H129" s="217" t="s">
        <v>71</v>
      </c>
      <c r="I129" s="218">
        <f>C113+C114</f>
        <v>1.5</v>
      </c>
      <c r="J129" s="383"/>
      <c r="K129" s="383"/>
      <c r="L129" s="383"/>
      <c r="M129" s="6"/>
    </row>
    <row r="130" spans="1:12" ht="16.5" customHeight="1" thickBot="1">
      <c r="A130" s="111"/>
      <c r="B130" s="167"/>
      <c r="C130" s="186"/>
      <c r="D130" s="186"/>
      <c r="E130" s="186"/>
      <c r="F130" s="186"/>
      <c r="G130" s="187"/>
      <c r="H130" s="188"/>
      <c r="I130" s="189"/>
      <c r="J130" s="187"/>
      <c r="K130" s="186"/>
      <c r="L130" s="179"/>
    </row>
    <row r="131" spans="1:12" ht="16.5" customHeight="1" thickBot="1">
      <c r="A131" s="111"/>
      <c r="B131" s="327" t="s">
        <v>136</v>
      </c>
      <c r="C131" s="328"/>
      <c r="D131" s="328"/>
      <c r="E131" s="328"/>
      <c r="F131" s="328"/>
      <c r="G131" s="328"/>
      <c r="H131" s="328"/>
      <c r="I131" s="328"/>
      <c r="J131" s="328"/>
      <c r="K131" s="328"/>
      <c r="L131" s="329"/>
    </row>
    <row r="132" spans="1:12" s="55" customFormat="1" ht="18.75" customHeight="1" thickBot="1">
      <c r="A132" s="125"/>
      <c r="B132" s="153" t="s">
        <v>203</v>
      </c>
      <c r="C132" s="147">
        <v>1</v>
      </c>
      <c r="D132" s="147">
        <v>12</v>
      </c>
      <c r="E132" s="146">
        <v>5660</v>
      </c>
      <c r="F132" s="146">
        <f>E132*0.25</f>
        <v>1415</v>
      </c>
      <c r="G132" s="146"/>
      <c r="H132" s="285"/>
      <c r="I132" s="286"/>
      <c r="J132" s="146"/>
      <c r="K132" s="146">
        <f>(E132+F132)*0.3</f>
        <v>2122.5</v>
      </c>
      <c r="L132" s="146">
        <f>(E132*C132)+F132+G132+I132+J132+K132</f>
        <v>9197.5</v>
      </c>
    </row>
    <row r="133" spans="1:12" s="55" customFormat="1" ht="19.5" customHeight="1" thickBot="1">
      <c r="A133" s="125"/>
      <c r="B133" s="153" t="s">
        <v>27</v>
      </c>
      <c r="C133" s="147">
        <v>0.25</v>
      </c>
      <c r="D133" s="147">
        <v>12</v>
      </c>
      <c r="E133" s="146">
        <v>5660</v>
      </c>
      <c r="F133" s="146"/>
      <c r="G133" s="146"/>
      <c r="H133" s="285"/>
      <c r="I133" s="286"/>
      <c r="J133" s="146"/>
      <c r="K133" s="146">
        <f>(E133*C133)*0.3</f>
        <v>424.5</v>
      </c>
      <c r="L133" s="146">
        <f>(E133*C133)+F133+G133+I133+J133+K133</f>
        <v>1839.5</v>
      </c>
    </row>
    <row r="134" spans="1:12" s="55" customFormat="1" ht="18.75" customHeight="1" thickBot="1">
      <c r="A134" s="125"/>
      <c r="B134" s="153" t="s">
        <v>90</v>
      </c>
      <c r="C134" s="147">
        <v>0.5</v>
      </c>
      <c r="D134" s="147">
        <v>12</v>
      </c>
      <c r="E134" s="146">
        <v>5660</v>
      </c>
      <c r="F134" s="146"/>
      <c r="G134" s="146"/>
      <c r="H134" s="285"/>
      <c r="I134" s="286"/>
      <c r="J134" s="146"/>
      <c r="K134" s="146">
        <f>(E134*C134)*0.3</f>
        <v>849</v>
      </c>
      <c r="L134" s="146">
        <f>(E134*C134)+F134+G134+I134+J134+K134</f>
        <v>3679</v>
      </c>
    </row>
    <row r="135" spans="1:13" s="55" customFormat="1" ht="18.75" customHeight="1" thickBot="1">
      <c r="A135" s="125"/>
      <c r="B135" s="153" t="s">
        <v>24</v>
      </c>
      <c r="C135" s="147">
        <v>0.5</v>
      </c>
      <c r="D135" s="147">
        <v>11</v>
      </c>
      <c r="E135" s="146">
        <v>5260</v>
      </c>
      <c r="F135" s="146"/>
      <c r="G135" s="146"/>
      <c r="H135" s="115"/>
      <c r="I135" s="116"/>
      <c r="J135" s="146"/>
      <c r="K135" s="146"/>
      <c r="L135" s="146">
        <f>E135*C135</f>
        <v>2630</v>
      </c>
      <c r="M135" s="57"/>
    </row>
    <row r="136" spans="1:12" s="55" customFormat="1" ht="18.75" customHeight="1" thickBot="1">
      <c r="A136" s="125"/>
      <c r="B136" s="153" t="s">
        <v>24</v>
      </c>
      <c r="C136" s="147">
        <v>0.25</v>
      </c>
      <c r="D136" s="147">
        <v>12</v>
      </c>
      <c r="E136" s="146">
        <v>5660</v>
      </c>
      <c r="F136" s="146"/>
      <c r="G136" s="146"/>
      <c r="H136" s="285"/>
      <c r="I136" s="286"/>
      <c r="J136" s="146"/>
      <c r="K136" s="146">
        <f>E136*C136*10%</f>
        <v>141.5</v>
      </c>
      <c r="L136" s="146">
        <f>(E136*C136)+F136+G136+I136+J136+K136</f>
        <v>1556.5</v>
      </c>
    </row>
    <row r="137" spans="1:12" s="55" customFormat="1" ht="17.25" customHeight="1" thickBot="1">
      <c r="A137" s="125"/>
      <c r="B137" s="153" t="s">
        <v>19</v>
      </c>
      <c r="C137" s="147">
        <v>1</v>
      </c>
      <c r="D137" s="147">
        <v>13</v>
      </c>
      <c r="E137" s="146">
        <v>6061</v>
      </c>
      <c r="F137" s="146"/>
      <c r="G137" s="146"/>
      <c r="H137" s="285"/>
      <c r="I137" s="286"/>
      <c r="J137" s="146"/>
      <c r="K137" s="146">
        <f>(E137*C137)*0.3</f>
        <v>1818.3</v>
      </c>
      <c r="L137" s="146">
        <f>(E137*C137)+F137+G137+I137+J137+K137</f>
        <v>7879.3</v>
      </c>
    </row>
    <row r="138" spans="1:12" s="55" customFormat="1" ht="15.75" customHeight="1" thickBot="1">
      <c r="A138" s="125"/>
      <c r="B138" s="153" t="s">
        <v>19</v>
      </c>
      <c r="C138" s="147">
        <v>1</v>
      </c>
      <c r="D138" s="147">
        <v>12</v>
      </c>
      <c r="E138" s="146">
        <v>5660</v>
      </c>
      <c r="F138" s="146"/>
      <c r="G138" s="146"/>
      <c r="H138" s="285"/>
      <c r="I138" s="286"/>
      <c r="J138" s="146"/>
      <c r="K138" s="146">
        <f>((E138*C138)+G138)*0.1</f>
        <v>566</v>
      </c>
      <c r="L138" s="146">
        <f>(E138*C138)+F138+G138+I138+J138+K138</f>
        <v>6226</v>
      </c>
    </row>
    <row r="139" spans="1:12" s="11" customFormat="1" ht="17.25" customHeight="1" hidden="1" thickBot="1">
      <c r="A139" s="113"/>
      <c r="B139" s="153" t="s">
        <v>19</v>
      </c>
      <c r="C139" s="147"/>
      <c r="D139" s="147"/>
      <c r="E139" s="147"/>
      <c r="F139" s="146"/>
      <c r="G139" s="146"/>
      <c r="H139" s="115"/>
      <c r="I139" s="116"/>
      <c r="J139" s="146"/>
      <c r="K139" s="146"/>
      <c r="L139" s="146"/>
    </row>
    <row r="140" spans="1:12" s="55" customFormat="1" ht="19.5" thickBot="1">
      <c r="A140" s="125"/>
      <c r="B140" s="153" t="s">
        <v>19</v>
      </c>
      <c r="C140" s="147">
        <v>0.25</v>
      </c>
      <c r="D140" s="147">
        <v>13</v>
      </c>
      <c r="E140" s="146">
        <v>6061</v>
      </c>
      <c r="F140" s="146"/>
      <c r="G140" s="146"/>
      <c r="H140" s="285"/>
      <c r="I140" s="286"/>
      <c r="J140" s="146"/>
      <c r="K140" s="146">
        <f>(C140*E140)*30%</f>
        <v>454.575</v>
      </c>
      <c r="L140" s="146">
        <f>(E140*C140)+F140+G140+I140+J140+K140</f>
        <v>1969.825</v>
      </c>
    </row>
    <row r="141" spans="1:13" s="55" customFormat="1" ht="19.5" thickBot="1">
      <c r="A141" s="125"/>
      <c r="B141" s="153" t="s">
        <v>19</v>
      </c>
      <c r="C141" s="147">
        <v>0.25</v>
      </c>
      <c r="D141" s="147">
        <v>11</v>
      </c>
      <c r="E141" s="146">
        <v>5260</v>
      </c>
      <c r="F141" s="146"/>
      <c r="G141" s="146"/>
      <c r="H141" s="115"/>
      <c r="I141" s="116"/>
      <c r="J141" s="146">
        <f>(C141*E141)*15%</f>
        <v>197.25</v>
      </c>
      <c r="K141" s="146">
        <f>(C141*E141)*10%</f>
        <v>131.5</v>
      </c>
      <c r="L141" s="146">
        <f>(E141*C141)+F141+G141+I141+J141+K141</f>
        <v>1643.75</v>
      </c>
      <c r="M141" s="68"/>
    </row>
    <row r="142" spans="1:13" s="55" customFormat="1" ht="19.5" customHeight="1" thickBot="1">
      <c r="A142" s="125"/>
      <c r="B142" s="153" t="s">
        <v>21</v>
      </c>
      <c r="C142" s="147">
        <v>0.25</v>
      </c>
      <c r="D142" s="147">
        <v>13</v>
      </c>
      <c r="E142" s="146">
        <v>6061</v>
      </c>
      <c r="F142" s="146"/>
      <c r="G142" s="146"/>
      <c r="H142" s="285"/>
      <c r="I142" s="286"/>
      <c r="J142" s="146"/>
      <c r="K142" s="146">
        <f>((E142*C142)+G142)*0.3</f>
        <v>454.575</v>
      </c>
      <c r="L142" s="146">
        <f>(E142*C142)+F142+G142+I142+J142+K142</f>
        <v>1969.825</v>
      </c>
      <c r="M142" s="68"/>
    </row>
    <row r="143" spans="1:13" s="55" customFormat="1" ht="0.75" customHeight="1" thickBot="1">
      <c r="A143" s="125"/>
      <c r="B143" s="153"/>
      <c r="C143" s="147"/>
      <c r="D143" s="147"/>
      <c r="E143" s="146"/>
      <c r="F143" s="146"/>
      <c r="G143" s="146"/>
      <c r="H143" s="115"/>
      <c r="I143" s="116"/>
      <c r="J143" s="146"/>
      <c r="K143" s="146"/>
      <c r="L143" s="146">
        <f>(E143*C143)+F143+G143+I143+J143+K143</f>
        <v>0</v>
      </c>
      <c r="M143" s="100"/>
    </row>
    <row r="144" spans="1:13" s="55" customFormat="1" ht="19.5" thickBot="1">
      <c r="A144" s="125"/>
      <c r="B144" s="153" t="s">
        <v>21</v>
      </c>
      <c r="C144" s="147">
        <v>0.5</v>
      </c>
      <c r="D144" s="147">
        <v>13</v>
      </c>
      <c r="E144" s="146">
        <v>6061</v>
      </c>
      <c r="F144" s="146"/>
      <c r="G144" s="146"/>
      <c r="H144" s="285"/>
      <c r="I144" s="286"/>
      <c r="J144" s="146"/>
      <c r="K144" s="146">
        <f>((E144*C144)+G144)*0.3</f>
        <v>909.15</v>
      </c>
      <c r="L144" s="146">
        <f>(E144*C144)+F144+G144+I144+J144+K144</f>
        <v>3939.65</v>
      </c>
      <c r="M144" s="68"/>
    </row>
    <row r="145" spans="1:13" s="55" customFormat="1" ht="54.75" customHeight="1" thickBot="1">
      <c r="A145" s="125"/>
      <c r="B145" s="153" t="s">
        <v>155</v>
      </c>
      <c r="C145" s="147">
        <v>0.5</v>
      </c>
      <c r="D145" s="147">
        <v>11</v>
      </c>
      <c r="E145" s="146">
        <v>5260</v>
      </c>
      <c r="F145" s="146"/>
      <c r="G145" s="146"/>
      <c r="H145" s="285">
        <f>(E145*C145)*0.6</f>
        <v>1578</v>
      </c>
      <c r="I145" s="286"/>
      <c r="J145" s="146"/>
      <c r="K145" s="146">
        <f>((E145*C145)+H145)*0.3</f>
        <v>1262.3999999999999</v>
      </c>
      <c r="L145" s="146">
        <f>(E145*C145)+F145+G145+H145+J145+K145</f>
        <v>5470.4</v>
      </c>
      <c r="M145" s="68"/>
    </row>
    <row r="146" spans="1:12" s="55" customFormat="1" ht="19.5" thickBot="1">
      <c r="A146" s="125"/>
      <c r="B146" s="153" t="s">
        <v>28</v>
      </c>
      <c r="C146" s="147">
        <v>0.25</v>
      </c>
      <c r="D146" s="147">
        <v>13</v>
      </c>
      <c r="E146" s="146">
        <v>6061</v>
      </c>
      <c r="F146" s="146"/>
      <c r="G146" s="146"/>
      <c r="H146" s="285"/>
      <c r="I146" s="286"/>
      <c r="J146" s="146"/>
      <c r="K146" s="156">
        <f>(E146*C146)*0.3</f>
        <v>454.575</v>
      </c>
      <c r="L146" s="146">
        <f>(E146*C146)+F146+G146+I146+J146+K146</f>
        <v>1969.825</v>
      </c>
    </row>
    <row r="147" spans="1:13" s="55" customFormat="1" ht="21" customHeight="1" thickBot="1">
      <c r="A147" s="125"/>
      <c r="B147" s="153" t="s">
        <v>20</v>
      </c>
      <c r="C147" s="147">
        <v>1</v>
      </c>
      <c r="D147" s="147">
        <v>11</v>
      </c>
      <c r="E147" s="146">
        <v>5260</v>
      </c>
      <c r="F147" s="146"/>
      <c r="G147" s="146"/>
      <c r="H147" s="115"/>
      <c r="I147" s="116"/>
      <c r="J147" s="202"/>
      <c r="K147" s="219"/>
      <c r="L147" s="146">
        <f>(E147*C147)+F147+G147+I147+J147+K147</f>
        <v>5260</v>
      </c>
      <c r="M147" s="101"/>
    </row>
    <row r="148" spans="1:12" s="55" customFormat="1" ht="37.5">
      <c r="A148" s="125"/>
      <c r="B148" s="154" t="s">
        <v>156</v>
      </c>
      <c r="C148" s="293">
        <v>1</v>
      </c>
      <c r="D148" s="293">
        <v>13</v>
      </c>
      <c r="E148" s="317">
        <v>6061</v>
      </c>
      <c r="F148" s="317"/>
      <c r="G148" s="317"/>
      <c r="H148" s="365">
        <f>(E148*C148)*0.6</f>
        <v>3636.6</v>
      </c>
      <c r="I148" s="374"/>
      <c r="J148" s="317"/>
      <c r="K148" s="156">
        <f>((E148*C148)*0.6)</f>
        <v>3636.6</v>
      </c>
      <c r="L148" s="317">
        <f>(E148*C148)+F148+G148+H148+K148+K149</f>
        <v>16243.480000000001</v>
      </c>
    </row>
    <row r="149" spans="1:12" s="55" customFormat="1" ht="19.5" thickBot="1">
      <c r="A149" s="125"/>
      <c r="B149" s="153" t="s">
        <v>197</v>
      </c>
      <c r="C149" s="295"/>
      <c r="D149" s="295"/>
      <c r="E149" s="295"/>
      <c r="F149" s="319"/>
      <c r="G149" s="319"/>
      <c r="H149" s="315"/>
      <c r="I149" s="316"/>
      <c r="J149" s="319"/>
      <c r="K149" s="146">
        <f>((E148*C148)+H148)*0.3</f>
        <v>2909.28</v>
      </c>
      <c r="L149" s="319"/>
    </row>
    <row r="150" spans="1:12" s="55" customFormat="1" ht="19.5" thickBot="1">
      <c r="A150" s="125"/>
      <c r="B150" s="153" t="s">
        <v>23</v>
      </c>
      <c r="C150" s="147">
        <v>1</v>
      </c>
      <c r="D150" s="147">
        <v>12</v>
      </c>
      <c r="E150" s="146">
        <v>5660</v>
      </c>
      <c r="F150" s="146"/>
      <c r="G150" s="146"/>
      <c r="H150" s="285"/>
      <c r="I150" s="286"/>
      <c r="J150" s="146"/>
      <c r="K150" s="146">
        <f>E150*0.3</f>
        <v>1698</v>
      </c>
      <c r="L150" s="146">
        <f>(E150*C150)+F150+G150+I150+J150+K150</f>
        <v>7358</v>
      </c>
    </row>
    <row r="151" spans="1:12" s="55" customFormat="1" ht="18.75" customHeight="1" thickBot="1">
      <c r="A151" s="125"/>
      <c r="B151" s="154" t="s">
        <v>29</v>
      </c>
      <c r="C151" s="147">
        <v>1</v>
      </c>
      <c r="D151" s="147">
        <v>13</v>
      </c>
      <c r="E151" s="146">
        <v>6061</v>
      </c>
      <c r="F151" s="146"/>
      <c r="G151" s="146"/>
      <c r="H151" s="285">
        <f>(E151*C151)*0.15</f>
        <v>909.15</v>
      </c>
      <c r="I151" s="286"/>
      <c r="J151" s="146"/>
      <c r="K151" s="146">
        <f>((E151*C151)+H151)*0.3</f>
        <v>2091.0449999999996</v>
      </c>
      <c r="L151" s="146">
        <f>(E151*C151)+F151+G151+H151+J151+K151</f>
        <v>9061.195</v>
      </c>
    </row>
    <row r="152" spans="1:12" s="55" customFormat="1" ht="18.75">
      <c r="A152" s="125"/>
      <c r="B152" s="220" t="s">
        <v>200</v>
      </c>
      <c r="C152" s="333">
        <v>1</v>
      </c>
      <c r="D152" s="293">
        <v>12</v>
      </c>
      <c r="E152" s="317">
        <v>5660</v>
      </c>
      <c r="F152" s="317"/>
      <c r="G152" s="317"/>
      <c r="H152" s="365">
        <f>C152*E152*0.25</f>
        <v>1415</v>
      </c>
      <c r="I152" s="374"/>
      <c r="J152" s="317"/>
      <c r="K152" s="317">
        <f>(E152*C152+H152)*0.3</f>
        <v>2122.5</v>
      </c>
      <c r="L152" s="317">
        <f>(C152*E152)+H152+K152</f>
        <v>9197.5</v>
      </c>
    </row>
    <row r="153" spans="1:13" s="55" customFormat="1" ht="19.5" thickBot="1">
      <c r="A153" s="125"/>
      <c r="B153" s="221" t="s">
        <v>201</v>
      </c>
      <c r="C153" s="388"/>
      <c r="D153" s="295"/>
      <c r="E153" s="295"/>
      <c r="F153" s="319"/>
      <c r="G153" s="319"/>
      <c r="H153" s="315"/>
      <c r="I153" s="316"/>
      <c r="J153" s="319"/>
      <c r="K153" s="319"/>
      <c r="L153" s="319"/>
      <c r="M153" s="68"/>
    </row>
    <row r="154" spans="1:13" s="55" customFormat="1" ht="18.75">
      <c r="A154" s="125"/>
      <c r="B154" s="220" t="s">
        <v>200</v>
      </c>
      <c r="C154" s="155"/>
      <c r="D154" s="222"/>
      <c r="E154" s="222"/>
      <c r="F154" s="208"/>
      <c r="G154" s="208"/>
      <c r="H154" s="365">
        <f>C155*E155*0.25</f>
        <v>353.75</v>
      </c>
      <c r="I154" s="374"/>
      <c r="J154" s="208"/>
      <c r="K154" s="317">
        <f>((C155*E155)+H154)*0.3</f>
        <v>530.625</v>
      </c>
      <c r="L154" s="317">
        <f>(C155*E155)+H154+K154</f>
        <v>2299.375</v>
      </c>
      <c r="M154" s="68"/>
    </row>
    <row r="155" spans="1:13" s="55" customFormat="1" ht="19.5" thickBot="1">
      <c r="A155" s="125"/>
      <c r="B155" s="221" t="s">
        <v>201</v>
      </c>
      <c r="C155" s="155">
        <v>0.25</v>
      </c>
      <c r="D155" s="222">
        <v>12</v>
      </c>
      <c r="E155" s="208">
        <v>5660</v>
      </c>
      <c r="F155" s="208"/>
      <c r="G155" s="208"/>
      <c r="H155" s="315"/>
      <c r="I155" s="316"/>
      <c r="J155" s="208"/>
      <c r="K155" s="319"/>
      <c r="L155" s="319"/>
      <c r="M155" s="68"/>
    </row>
    <row r="156" spans="1:12" s="55" customFormat="1" ht="18.75">
      <c r="A156" s="125"/>
      <c r="B156" s="154" t="s">
        <v>199</v>
      </c>
      <c r="C156" s="293">
        <v>0.25</v>
      </c>
      <c r="D156" s="293">
        <v>10</v>
      </c>
      <c r="E156" s="317">
        <v>4859</v>
      </c>
      <c r="F156" s="317"/>
      <c r="G156" s="317"/>
      <c r="H156" s="365">
        <f>(E156*C156)*0.25</f>
        <v>303.6875</v>
      </c>
      <c r="I156" s="374"/>
      <c r="J156" s="317"/>
      <c r="K156" s="317"/>
      <c r="L156" s="317">
        <f>(E156*C156)+F156+G156+H156+J156+K156</f>
        <v>1518.4375</v>
      </c>
    </row>
    <row r="157" spans="1:13" s="55" customFormat="1" ht="19.5" thickBot="1">
      <c r="A157" s="125"/>
      <c r="B157" s="153" t="s">
        <v>198</v>
      </c>
      <c r="C157" s="295"/>
      <c r="D157" s="295"/>
      <c r="E157" s="295"/>
      <c r="F157" s="319"/>
      <c r="G157" s="319"/>
      <c r="H157" s="315"/>
      <c r="I157" s="316"/>
      <c r="J157" s="319"/>
      <c r="K157" s="319"/>
      <c r="L157" s="319"/>
      <c r="M157" s="57"/>
    </row>
    <row r="158" spans="1:12" s="55" customFormat="1" ht="18" customHeight="1" thickBot="1">
      <c r="A158" s="125"/>
      <c r="B158" s="153" t="s">
        <v>30</v>
      </c>
      <c r="C158" s="147">
        <v>1</v>
      </c>
      <c r="D158" s="147">
        <v>11</v>
      </c>
      <c r="E158" s="146">
        <v>5260</v>
      </c>
      <c r="F158" s="146"/>
      <c r="G158" s="146"/>
      <c r="H158" s="285">
        <f>(E158*C158)*0.15</f>
        <v>789</v>
      </c>
      <c r="I158" s="286"/>
      <c r="J158" s="146"/>
      <c r="K158" s="146">
        <f>((E158*C158)+H158)*0.3</f>
        <v>1814.7</v>
      </c>
      <c r="L158" s="146">
        <f>(E158*C158)+F158+G158+H158+J158+K158</f>
        <v>7863.7</v>
      </c>
    </row>
    <row r="159" spans="1:12" s="55" customFormat="1" ht="18" customHeight="1" thickBot="1">
      <c r="A159" s="125"/>
      <c r="B159" s="153" t="s">
        <v>30</v>
      </c>
      <c r="C159" s="147">
        <v>1</v>
      </c>
      <c r="D159" s="147">
        <v>13</v>
      </c>
      <c r="E159" s="146">
        <v>6061</v>
      </c>
      <c r="F159" s="146"/>
      <c r="G159" s="146"/>
      <c r="H159" s="285">
        <f>(E159*C159)*0.15</f>
        <v>909.15</v>
      </c>
      <c r="I159" s="286"/>
      <c r="J159" s="146"/>
      <c r="K159" s="146">
        <f>((E159*C159)+H159)*0.3</f>
        <v>2091.0449999999996</v>
      </c>
      <c r="L159" s="146">
        <f>(E159*C159)+F159+G159+H159+J159+K159</f>
        <v>9061.195</v>
      </c>
    </row>
    <row r="160" spans="1:13" s="55" customFormat="1" ht="18.75" customHeight="1" thickBot="1">
      <c r="A160" s="125"/>
      <c r="B160" s="153" t="s">
        <v>31</v>
      </c>
      <c r="C160" s="147">
        <v>0.5</v>
      </c>
      <c r="D160" s="147">
        <v>12</v>
      </c>
      <c r="E160" s="146">
        <v>5660</v>
      </c>
      <c r="F160" s="146"/>
      <c r="G160" s="146"/>
      <c r="H160" s="285"/>
      <c r="I160" s="286"/>
      <c r="J160" s="146"/>
      <c r="K160" s="146">
        <f>((E160*C160)+G160)*0.1</f>
        <v>283</v>
      </c>
      <c r="L160" s="146">
        <f>(E160*C160)+F160+G160+I160+J160+K160</f>
        <v>3113</v>
      </c>
      <c r="M160" s="68"/>
    </row>
    <row r="161" spans="1:13" s="55" customFormat="1" ht="38.25" thickBot="1">
      <c r="A161" s="125"/>
      <c r="B161" s="153" t="s">
        <v>169</v>
      </c>
      <c r="C161" s="147">
        <v>1</v>
      </c>
      <c r="D161" s="147">
        <v>8</v>
      </c>
      <c r="E161" s="146">
        <v>4379</v>
      </c>
      <c r="F161" s="146">
        <f>E161*0.1</f>
        <v>437.90000000000003</v>
      </c>
      <c r="G161" s="146"/>
      <c r="H161" s="285"/>
      <c r="I161" s="286"/>
      <c r="J161" s="146"/>
      <c r="K161" s="146">
        <f>(E161+F161)*0.3</f>
        <v>1445.07</v>
      </c>
      <c r="L161" s="146">
        <f>(E161*C161)+F161+G161+I161+J161+K161</f>
        <v>6261.969999999999</v>
      </c>
      <c r="M161" s="68"/>
    </row>
    <row r="162" spans="1:13" s="55" customFormat="1" ht="57" thickBot="1">
      <c r="A162" s="125"/>
      <c r="B162" s="153" t="s">
        <v>170</v>
      </c>
      <c r="C162" s="147">
        <v>1</v>
      </c>
      <c r="D162" s="147">
        <v>9</v>
      </c>
      <c r="E162" s="146">
        <v>4619</v>
      </c>
      <c r="F162" s="146"/>
      <c r="G162" s="146"/>
      <c r="H162" s="285"/>
      <c r="I162" s="286"/>
      <c r="J162" s="146">
        <f>E162*0.1</f>
        <v>461.90000000000003</v>
      </c>
      <c r="K162" s="146">
        <f>E162*0.3</f>
        <v>1385.7</v>
      </c>
      <c r="L162" s="146">
        <f>(E162*C162)+F162+G162+I162+J162+K162</f>
        <v>6466.599999999999</v>
      </c>
      <c r="M162" s="68"/>
    </row>
    <row r="163" spans="1:13" s="55" customFormat="1" ht="57" customHeight="1" thickBot="1">
      <c r="A163" s="125"/>
      <c r="B163" s="153" t="s">
        <v>171</v>
      </c>
      <c r="C163" s="147">
        <v>2</v>
      </c>
      <c r="D163" s="147">
        <v>6</v>
      </c>
      <c r="E163" s="146">
        <v>3872</v>
      </c>
      <c r="F163" s="146"/>
      <c r="G163" s="146"/>
      <c r="H163" s="285">
        <f>(E163*C163)*0.15</f>
        <v>1161.6</v>
      </c>
      <c r="I163" s="286"/>
      <c r="J163" s="146"/>
      <c r="K163" s="146"/>
      <c r="L163" s="146">
        <f>(E163*C163)+F163+G163+H163+J163+K163</f>
        <v>8905.6</v>
      </c>
      <c r="M163" s="58"/>
    </row>
    <row r="164" spans="1:12" s="11" customFormat="1" ht="0.75" customHeight="1" thickBot="1">
      <c r="A164" s="113"/>
      <c r="B164" s="153" t="s">
        <v>171</v>
      </c>
      <c r="C164" s="147"/>
      <c r="D164" s="147"/>
      <c r="E164" s="147"/>
      <c r="F164" s="146"/>
      <c r="G164" s="146"/>
      <c r="H164" s="285">
        <f>(E164*C164)*0.15</f>
        <v>0</v>
      </c>
      <c r="I164" s="286"/>
      <c r="J164" s="146"/>
      <c r="K164" s="146"/>
      <c r="L164" s="146">
        <f>(E164*C164)+F164+G164+H164+J164+K164</f>
        <v>0</v>
      </c>
    </row>
    <row r="165" spans="1:13" s="55" customFormat="1" ht="54" customHeight="1" thickBot="1">
      <c r="A165" s="125"/>
      <c r="B165" s="153" t="s">
        <v>172</v>
      </c>
      <c r="C165" s="147">
        <v>1</v>
      </c>
      <c r="D165" s="147">
        <v>9</v>
      </c>
      <c r="E165" s="146">
        <v>4619</v>
      </c>
      <c r="F165" s="146"/>
      <c r="G165" s="146"/>
      <c r="H165" s="285">
        <f>E165*0.15</f>
        <v>692.85</v>
      </c>
      <c r="I165" s="286"/>
      <c r="J165" s="146">
        <f>(E165+H165)*0.1</f>
        <v>531.1850000000001</v>
      </c>
      <c r="K165" s="146">
        <f>(E165+H165)*0.3</f>
        <v>1593.555</v>
      </c>
      <c r="L165" s="146">
        <f>(E165*C165)+F165+G165+H165+J165+K165+0.01</f>
        <v>7436.600000000001</v>
      </c>
      <c r="M165" s="68"/>
    </row>
    <row r="166" spans="1:12" s="55" customFormat="1" ht="57" thickBot="1">
      <c r="A166" s="125"/>
      <c r="B166" s="153" t="s">
        <v>173</v>
      </c>
      <c r="C166" s="147">
        <v>1</v>
      </c>
      <c r="D166" s="147">
        <v>6</v>
      </c>
      <c r="E166" s="146">
        <v>3872</v>
      </c>
      <c r="F166" s="146"/>
      <c r="G166" s="146"/>
      <c r="H166" s="285">
        <f>E166*0.25</f>
        <v>968</v>
      </c>
      <c r="I166" s="286"/>
      <c r="J166" s="146"/>
      <c r="K166" s="146">
        <f>(E166+H166)*0.3</f>
        <v>1452</v>
      </c>
      <c r="L166" s="146">
        <f>(E166*C166)+F166+G166+H166+J166+K166</f>
        <v>6292</v>
      </c>
    </row>
    <row r="167" spans="1:12" s="55" customFormat="1" ht="18.75">
      <c r="A167" s="125"/>
      <c r="B167" s="334" t="s">
        <v>174</v>
      </c>
      <c r="C167" s="293">
        <v>1</v>
      </c>
      <c r="D167" s="293">
        <v>7</v>
      </c>
      <c r="E167" s="317">
        <v>4112</v>
      </c>
      <c r="F167" s="317"/>
      <c r="G167" s="317"/>
      <c r="H167" s="365">
        <f>E167*0.6</f>
        <v>2467.2</v>
      </c>
      <c r="I167" s="374"/>
      <c r="J167" s="317">
        <f>(E167+H167)*0.1</f>
        <v>657.9200000000001</v>
      </c>
      <c r="K167" s="156">
        <f>E167*0.4</f>
        <v>1644.8000000000002</v>
      </c>
      <c r="L167" s="317">
        <f>(E167*C167)+F167+G167+H167+J167+K167+K168</f>
        <v>10197.76</v>
      </c>
    </row>
    <row r="168" spans="1:12" s="55" customFormat="1" ht="19.5" thickBot="1">
      <c r="A168" s="125"/>
      <c r="B168" s="335"/>
      <c r="C168" s="295"/>
      <c r="D168" s="295"/>
      <c r="E168" s="295"/>
      <c r="F168" s="319"/>
      <c r="G168" s="319"/>
      <c r="H168" s="315"/>
      <c r="I168" s="316"/>
      <c r="J168" s="319"/>
      <c r="K168" s="146">
        <f>(E167+H167)*0.2</f>
        <v>1315.8400000000001</v>
      </c>
      <c r="L168" s="319"/>
    </row>
    <row r="169" spans="1:12" s="55" customFormat="1" ht="42" customHeight="1" thickBot="1">
      <c r="A169" s="125"/>
      <c r="B169" s="153" t="s">
        <v>175</v>
      </c>
      <c r="C169" s="147">
        <v>0.75</v>
      </c>
      <c r="D169" s="147">
        <v>6</v>
      </c>
      <c r="E169" s="146">
        <v>3872</v>
      </c>
      <c r="F169" s="146"/>
      <c r="G169" s="146"/>
      <c r="H169" s="285"/>
      <c r="I169" s="286"/>
      <c r="J169" s="146"/>
      <c r="K169" s="146">
        <f>(E169*C169)*0.2</f>
        <v>580.8000000000001</v>
      </c>
      <c r="L169" s="146">
        <f>(E169*C169)+F169+G169+I169+J169+K169</f>
        <v>3484.8</v>
      </c>
    </row>
    <row r="170" spans="1:12" s="11" customFormat="1" ht="2.25" customHeight="1" hidden="1" thickBot="1">
      <c r="A170" s="113"/>
      <c r="B170" s="153" t="s">
        <v>175</v>
      </c>
      <c r="C170" s="147"/>
      <c r="D170" s="147"/>
      <c r="E170" s="147"/>
      <c r="F170" s="146"/>
      <c r="G170" s="146"/>
      <c r="H170" s="285"/>
      <c r="I170" s="286"/>
      <c r="J170" s="146"/>
      <c r="K170" s="146">
        <f>(E170*C170)*0.2</f>
        <v>0</v>
      </c>
      <c r="L170" s="146"/>
    </row>
    <row r="171" spans="1:12" s="11" customFormat="1" ht="1.5" customHeight="1" hidden="1" thickBot="1">
      <c r="A171" s="113"/>
      <c r="B171" s="153" t="s">
        <v>175</v>
      </c>
      <c r="C171" s="147"/>
      <c r="D171" s="147"/>
      <c r="E171" s="147"/>
      <c r="F171" s="146"/>
      <c r="G171" s="146"/>
      <c r="H171" s="285"/>
      <c r="I171" s="286"/>
      <c r="J171" s="146"/>
      <c r="K171" s="146">
        <f>(E171*C171)*0.2</f>
        <v>0</v>
      </c>
      <c r="L171" s="146"/>
    </row>
    <row r="172" spans="1:13" s="55" customFormat="1" ht="36.75" customHeight="1" thickBot="1">
      <c r="A172" s="125"/>
      <c r="B172" s="153" t="s">
        <v>175</v>
      </c>
      <c r="C172" s="147">
        <v>0.5</v>
      </c>
      <c r="D172" s="147">
        <v>7</v>
      </c>
      <c r="E172" s="146">
        <v>4112</v>
      </c>
      <c r="F172" s="146"/>
      <c r="G172" s="146"/>
      <c r="H172" s="285"/>
      <c r="I172" s="286"/>
      <c r="J172" s="146"/>
      <c r="K172" s="146">
        <f>(E172*C172)*0.2</f>
        <v>411.20000000000005</v>
      </c>
      <c r="L172" s="146">
        <f>(E172*C172)+F172+G172+I172+J172+K172</f>
        <v>2467.2</v>
      </c>
      <c r="M172" s="68"/>
    </row>
    <row r="173" spans="1:12" s="55" customFormat="1" ht="39" customHeight="1" thickBot="1">
      <c r="A173" s="125"/>
      <c r="B173" s="153" t="s">
        <v>175</v>
      </c>
      <c r="C173" s="147">
        <v>0.5</v>
      </c>
      <c r="D173" s="147">
        <v>7</v>
      </c>
      <c r="E173" s="146">
        <v>4112</v>
      </c>
      <c r="F173" s="146"/>
      <c r="G173" s="146"/>
      <c r="H173" s="115"/>
      <c r="I173" s="116"/>
      <c r="J173" s="146"/>
      <c r="K173" s="146">
        <f>(E173*C173)*0.3</f>
        <v>616.8</v>
      </c>
      <c r="L173" s="146">
        <f>(E173*C173)+F173+G173+I173+J173+K173</f>
        <v>2672.8</v>
      </c>
    </row>
    <row r="174" spans="1:12" s="55" customFormat="1" ht="38.25" thickBot="1">
      <c r="A174" s="125"/>
      <c r="B174" s="153" t="s">
        <v>175</v>
      </c>
      <c r="C174" s="147">
        <v>1</v>
      </c>
      <c r="D174" s="147">
        <v>7</v>
      </c>
      <c r="E174" s="146">
        <v>4112</v>
      </c>
      <c r="F174" s="146"/>
      <c r="G174" s="146"/>
      <c r="H174" s="115"/>
      <c r="I174" s="116"/>
      <c r="J174" s="146"/>
      <c r="K174" s="146">
        <f>E174*30%</f>
        <v>1233.6</v>
      </c>
      <c r="L174" s="146">
        <f>E174+K174</f>
        <v>5345.6</v>
      </c>
    </row>
    <row r="175" spans="1:12" s="55" customFormat="1" ht="38.25" thickBot="1">
      <c r="A175" s="125"/>
      <c r="B175" s="153" t="s">
        <v>175</v>
      </c>
      <c r="C175" s="147">
        <v>1</v>
      </c>
      <c r="D175" s="147">
        <v>7</v>
      </c>
      <c r="E175" s="146">
        <v>4112</v>
      </c>
      <c r="F175" s="146"/>
      <c r="G175" s="146"/>
      <c r="H175" s="285"/>
      <c r="I175" s="286"/>
      <c r="J175" s="146"/>
      <c r="K175" s="146">
        <f>(E175*C175)*0.2</f>
        <v>822.4000000000001</v>
      </c>
      <c r="L175" s="146">
        <f>(E175*C175)+F175+G175+I175+J175+K175</f>
        <v>4934.4</v>
      </c>
    </row>
    <row r="176" spans="1:12" s="55" customFormat="1" ht="35.25" customHeight="1" thickBot="1">
      <c r="A176" s="223"/>
      <c r="B176" s="152" t="s">
        <v>176</v>
      </c>
      <c r="C176" s="147">
        <v>1</v>
      </c>
      <c r="D176" s="147">
        <v>6</v>
      </c>
      <c r="E176" s="146">
        <v>3872</v>
      </c>
      <c r="F176" s="146"/>
      <c r="G176" s="146"/>
      <c r="H176" s="115"/>
      <c r="I176" s="116"/>
      <c r="J176" s="146"/>
      <c r="K176" s="146">
        <f>(E176*C176)*0.2</f>
        <v>774.4000000000001</v>
      </c>
      <c r="L176" s="146">
        <f>(E176*C176)+F176+G176+I176+J176+K176</f>
        <v>4646.4</v>
      </c>
    </row>
    <row r="177" spans="1:12" s="55" customFormat="1" ht="75.75" thickBot="1">
      <c r="A177" s="125"/>
      <c r="B177" s="153" t="s">
        <v>177</v>
      </c>
      <c r="C177" s="147">
        <v>1</v>
      </c>
      <c r="D177" s="147">
        <v>7</v>
      </c>
      <c r="E177" s="146">
        <v>4112</v>
      </c>
      <c r="F177" s="146"/>
      <c r="G177" s="146"/>
      <c r="H177" s="115"/>
      <c r="I177" s="116"/>
      <c r="J177" s="146">
        <f>E177*0.1</f>
        <v>411.20000000000005</v>
      </c>
      <c r="K177" s="146">
        <f>E177*0.3</f>
        <v>1233.6</v>
      </c>
      <c r="L177" s="146">
        <f>(E177*C177)+F177+G177+I177+J177+K177</f>
        <v>5756.799999999999</v>
      </c>
    </row>
    <row r="178" spans="1:12" s="55" customFormat="1" ht="18.75" customHeight="1" thickBot="1">
      <c r="A178" s="125"/>
      <c r="B178" s="153" t="s">
        <v>148</v>
      </c>
      <c r="C178" s="147">
        <v>1</v>
      </c>
      <c r="D178" s="147">
        <v>7</v>
      </c>
      <c r="E178" s="146">
        <v>4112</v>
      </c>
      <c r="F178" s="146"/>
      <c r="G178" s="146"/>
      <c r="H178" s="285"/>
      <c r="I178" s="286"/>
      <c r="J178" s="146">
        <f>E178*0.1</f>
        <v>411.20000000000005</v>
      </c>
      <c r="K178" s="146">
        <f>E178*20%</f>
        <v>822.4000000000001</v>
      </c>
      <c r="L178" s="146">
        <f>(E178*C178)+F178+G178+I178+J178+K178</f>
        <v>5345.6</v>
      </c>
    </row>
    <row r="179" spans="1:13" s="55" customFormat="1" ht="19.5" thickBot="1">
      <c r="A179" s="125"/>
      <c r="B179" s="153" t="s">
        <v>148</v>
      </c>
      <c r="C179" s="147">
        <v>0.5</v>
      </c>
      <c r="D179" s="147">
        <v>8</v>
      </c>
      <c r="E179" s="146">
        <v>4379</v>
      </c>
      <c r="F179" s="146"/>
      <c r="G179" s="146"/>
      <c r="H179" s="285"/>
      <c r="I179" s="286"/>
      <c r="J179" s="146">
        <f>E179*0.1*C179</f>
        <v>218.95000000000002</v>
      </c>
      <c r="K179" s="146">
        <f>E179*C179*30%</f>
        <v>656.85</v>
      </c>
      <c r="L179" s="146">
        <f>(E179*C179)+F179+G179+I179+J179+K179</f>
        <v>3065.2999999999997</v>
      </c>
      <c r="M179" s="68"/>
    </row>
    <row r="180" spans="1:12" s="55" customFormat="1" ht="74.25" customHeight="1" thickBot="1">
      <c r="A180" s="125"/>
      <c r="B180" s="153" t="s">
        <v>178</v>
      </c>
      <c r="C180" s="147">
        <v>0.5</v>
      </c>
      <c r="D180" s="147">
        <v>7</v>
      </c>
      <c r="E180" s="146">
        <v>4112</v>
      </c>
      <c r="F180" s="146"/>
      <c r="G180" s="146"/>
      <c r="H180" s="285">
        <f>(E180*C180)*0.6</f>
        <v>1233.6</v>
      </c>
      <c r="I180" s="286"/>
      <c r="J180" s="146"/>
      <c r="K180" s="146">
        <f>((E180*C180)+H180)*0.2</f>
        <v>657.9200000000001</v>
      </c>
      <c r="L180" s="146">
        <f>(E180*C180)+F180+G180+H180+J180+K180</f>
        <v>3947.52</v>
      </c>
    </row>
    <row r="181" spans="1:12" s="11" customFormat="1" ht="12.75" customHeight="1" hidden="1" thickBot="1">
      <c r="A181" s="113"/>
      <c r="B181" s="153"/>
      <c r="C181" s="147"/>
      <c r="D181" s="147"/>
      <c r="E181" s="147"/>
      <c r="F181" s="146"/>
      <c r="G181" s="146"/>
      <c r="H181" s="285"/>
      <c r="I181" s="286"/>
      <c r="J181" s="146"/>
      <c r="K181" s="146">
        <f>((E181*C181)+H181)*0.2</f>
        <v>0</v>
      </c>
      <c r="L181" s="146"/>
    </row>
    <row r="182" spans="1:12" s="55" customFormat="1" ht="36.75" customHeight="1" thickBot="1">
      <c r="A182" s="125"/>
      <c r="B182" s="153" t="s">
        <v>179</v>
      </c>
      <c r="C182" s="147">
        <v>0.5</v>
      </c>
      <c r="D182" s="147">
        <v>7</v>
      </c>
      <c r="E182" s="146">
        <v>4112</v>
      </c>
      <c r="F182" s="146"/>
      <c r="G182" s="146"/>
      <c r="H182" s="285">
        <f>(E182*C182)*0.15</f>
        <v>308.4</v>
      </c>
      <c r="I182" s="286"/>
      <c r="J182" s="146">
        <f>((E182*C182)+H182)*0.1</f>
        <v>236.44000000000003</v>
      </c>
      <c r="K182" s="146">
        <f>((E182*C182)+H182)*0.3</f>
        <v>709.32</v>
      </c>
      <c r="L182" s="146">
        <f>(E182*C182)+F182+G182+H182+J182+K182</f>
        <v>3310.1600000000003</v>
      </c>
    </row>
    <row r="183" spans="1:13" s="55" customFormat="1" ht="19.5" thickBot="1">
      <c r="A183" s="125"/>
      <c r="B183" s="158" t="s">
        <v>32</v>
      </c>
      <c r="C183" s="110">
        <v>1</v>
      </c>
      <c r="D183" s="110">
        <v>5</v>
      </c>
      <c r="E183" s="116">
        <v>3631</v>
      </c>
      <c r="F183" s="116"/>
      <c r="G183" s="116"/>
      <c r="H183" s="285"/>
      <c r="I183" s="286"/>
      <c r="J183" s="116"/>
      <c r="K183" s="116"/>
      <c r="L183" s="116">
        <f>(E183*C183)+F183+G183+I183+J183+K183</f>
        <v>3631</v>
      </c>
      <c r="M183" s="57"/>
    </row>
    <row r="184" spans="1:12" s="55" customFormat="1" ht="75.75" thickBot="1">
      <c r="A184" s="125"/>
      <c r="B184" s="224" t="s">
        <v>180</v>
      </c>
      <c r="C184" s="147">
        <v>4</v>
      </c>
      <c r="D184" s="147">
        <v>3</v>
      </c>
      <c r="E184" s="146">
        <v>3151</v>
      </c>
      <c r="F184" s="146"/>
      <c r="G184" s="146"/>
      <c r="H184" s="285"/>
      <c r="I184" s="286"/>
      <c r="J184" s="146">
        <f>(E184*C184)*0.1</f>
        <v>1260.4</v>
      </c>
      <c r="K184" s="146"/>
      <c r="L184" s="146">
        <f>(E184*C184)+F184+G184+I184+J184+K184</f>
        <v>13864.4</v>
      </c>
    </row>
    <row r="185" spans="1:12" s="55" customFormat="1" ht="38.25" thickBot="1">
      <c r="A185" s="125"/>
      <c r="B185" s="224" t="s">
        <v>143</v>
      </c>
      <c r="C185" s="147">
        <v>1</v>
      </c>
      <c r="D185" s="147">
        <v>10</v>
      </c>
      <c r="E185" s="146">
        <v>4859</v>
      </c>
      <c r="F185" s="146"/>
      <c r="G185" s="146"/>
      <c r="H185" s="115"/>
      <c r="I185" s="116"/>
      <c r="J185" s="146"/>
      <c r="K185" s="146"/>
      <c r="L185" s="146">
        <f>E185</f>
        <v>4859</v>
      </c>
    </row>
    <row r="186" spans="1:12" s="55" customFormat="1" ht="38.25" thickBot="1">
      <c r="A186" s="125"/>
      <c r="B186" s="224" t="s">
        <v>144</v>
      </c>
      <c r="C186" s="147">
        <v>1</v>
      </c>
      <c r="D186" s="147">
        <v>9</v>
      </c>
      <c r="E186" s="146">
        <v>4619</v>
      </c>
      <c r="F186" s="146"/>
      <c r="G186" s="146"/>
      <c r="H186" s="115"/>
      <c r="I186" s="116"/>
      <c r="J186" s="146"/>
      <c r="K186" s="146"/>
      <c r="L186" s="146">
        <f>E186</f>
        <v>4619</v>
      </c>
    </row>
    <row r="187" spans="1:12" s="55" customFormat="1" ht="19.5" thickBot="1">
      <c r="A187" s="125"/>
      <c r="B187" s="224" t="s">
        <v>33</v>
      </c>
      <c r="C187" s="147">
        <v>1</v>
      </c>
      <c r="D187" s="147">
        <v>14</v>
      </c>
      <c r="E187" s="146">
        <v>6461</v>
      </c>
      <c r="F187" s="146"/>
      <c r="G187" s="146"/>
      <c r="H187" s="285"/>
      <c r="I187" s="336"/>
      <c r="J187" s="146"/>
      <c r="K187" s="146">
        <f>C187*E187*0.3</f>
        <v>1938.3</v>
      </c>
      <c r="L187" s="146">
        <f>E187+K187</f>
        <v>8399.3</v>
      </c>
    </row>
    <row r="188" spans="1:13" s="55" customFormat="1" ht="19.5" thickBot="1">
      <c r="A188" s="125"/>
      <c r="B188" s="224" t="s">
        <v>34</v>
      </c>
      <c r="C188" s="147">
        <v>0.5</v>
      </c>
      <c r="D188" s="147">
        <v>11</v>
      </c>
      <c r="E188" s="146">
        <v>5260</v>
      </c>
      <c r="F188" s="146"/>
      <c r="G188" s="146"/>
      <c r="H188" s="285"/>
      <c r="I188" s="336"/>
      <c r="J188" s="146"/>
      <c r="K188" s="146">
        <f>C188*E188*0.3</f>
        <v>789</v>
      </c>
      <c r="L188" s="146">
        <f>(E188*C188)+K188</f>
        <v>3419</v>
      </c>
      <c r="M188" s="68"/>
    </row>
    <row r="189" spans="1:13" s="55" customFormat="1" ht="19.5" thickBot="1">
      <c r="A189" s="125"/>
      <c r="B189" s="224" t="s">
        <v>34</v>
      </c>
      <c r="C189" s="147">
        <v>0.5</v>
      </c>
      <c r="D189" s="147">
        <v>12</v>
      </c>
      <c r="E189" s="146">
        <v>5660</v>
      </c>
      <c r="F189" s="146"/>
      <c r="G189" s="146"/>
      <c r="H189" s="115"/>
      <c r="I189" s="109"/>
      <c r="J189" s="146"/>
      <c r="K189" s="146">
        <f>C189*E189*0.3</f>
        <v>849</v>
      </c>
      <c r="L189" s="146">
        <f>(E189*C189)+K189</f>
        <v>3679</v>
      </c>
      <c r="M189" s="68"/>
    </row>
    <row r="190" spans="1:14" s="55" customFormat="1" ht="19.5" thickBot="1">
      <c r="A190" s="125"/>
      <c r="B190" s="224" t="s">
        <v>140</v>
      </c>
      <c r="C190" s="147">
        <v>0.5</v>
      </c>
      <c r="D190" s="147">
        <v>10</v>
      </c>
      <c r="E190" s="146">
        <v>4859</v>
      </c>
      <c r="F190" s="146"/>
      <c r="G190" s="146"/>
      <c r="H190" s="285"/>
      <c r="I190" s="336"/>
      <c r="J190" s="146"/>
      <c r="K190" s="146">
        <f>C190*E190*0.3</f>
        <v>728.85</v>
      </c>
      <c r="L190" s="146">
        <f>(E190*C190)+K190</f>
        <v>3158.35</v>
      </c>
      <c r="N190" s="69"/>
    </row>
    <row r="191" spans="1:14" s="55" customFormat="1" ht="19.5" thickBot="1">
      <c r="A191" s="125"/>
      <c r="B191" s="224" t="s">
        <v>163</v>
      </c>
      <c r="C191" s="147">
        <v>1</v>
      </c>
      <c r="D191" s="147">
        <v>12</v>
      </c>
      <c r="E191" s="146">
        <v>5660</v>
      </c>
      <c r="F191" s="146"/>
      <c r="G191" s="146"/>
      <c r="H191" s="115"/>
      <c r="I191" s="109"/>
      <c r="J191" s="146"/>
      <c r="K191" s="146">
        <v>1698</v>
      </c>
      <c r="L191" s="146">
        <f>(E191*C191)+K191</f>
        <v>7358</v>
      </c>
      <c r="M191" s="68"/>
      <c r="N191" s="69"/>
    </row>
    <row r="192" spans="1:12" s="55" customFormat="1" ht="35.25" customHeight="1" thickBot="1">
      <c r="A192" s="125"/>
      <c r="B192" s="224" t="s">
        <v>149</v>
      </c>
      <c r="C192" s="147">
        <v>2</v>
      </c>
      <c r="D192" s="147">
        <v>8</v>
      </c>
      <c r="E192" s="146">
        <v>4379</v>
      </c>
      <c r="F192" s="146"/>
      <c r="G192" s="146"/>
      <c r="H192" s="285"/>
      <c r="I192" s="286"/>
      <c r="J192" s="146">
        <f>C192*E192*0.1</f>
        <v>875.8000000000001</v>
      </c>
      <c r="K192" s="146">
        <f>C192*E192*0.3</f>
        <v>2627.4</v>
      </c>
      <c r="L192" s="146">
        <f>(E192*C192)+J192+K192</f>
        <v>12261.199999999999</v>
      </c>
    </row>
    <row r="193" spans="1:12" s="55" customFormat="1" ht="34.5" customHeight="1" thickBot="1">
      <c r="A193" s="125"/>
      <c r="B193" s="224" t="s">
        <v>181</v>
      </c>
      <c r="C193" s="155">
        <v>1</v>
      </c>
      <c r="D193" s="155">
        <v>3</v>
      </c>
      <c r="E193" s="146">
        <v>3151</v>
      </c>
      <c r="F193" s="156"/>
      <c r="G193" s="156"/>
      <c r="H193" s="285"/>
      <c r="I193" s="336"/>
      <c r="J193" s="146">
        <f>C193*E193*0.1</f>
        <v>315.1</v>
      </c>
      <c r="K193" s="156"/>
      <c r="L193" s="156">
        <f>(C193*E193)+J193</f>
        <v>3466.1</v>
      </c>
    </row>
    <row r="194" spans="1:12" s="11" customFormat="1" ht="0.75" customHeight="1" thickBot="1">
      <c r="A194" s="207"/>
      <c r="B194" s="153"/>
      <c r="C194" s="147"/>
      <c r="D194" s="147"/>
      <c r="E194" s="146"/>
      <c r="F194" s="147"/>
      <c r="G194" s="146"/>
      <c r="H194" s="285"/>
      <c r="I194" s="286"/>
      <c r="J194" s="147"/>
      <c r="K194" s="147"/>
      <c r="L194" s="146"/>
    </row>
    <row r="195" spans="1:13" s="55" customFormat="1" ht="21.75" customHeight="1" thickBot="1">
      <c r="A195" s="125"/>
      <c r="B195" s="154" t="s">
        <v>100</v>
      </c>
      <c r="C195" s="147">
        <v>1</v>
      </c>
      <c r="D195" s="147">
        <v>11</v>
      </c>
      <c r="E195" s="146">
        <v>5260</v>
      </c>
      <c r="F195" s="147"/>
      <c r="G195" s="147"/>
      <c r="H195" s="285">
        <f>E195*15%</f>
        <v>789</v>
      </c>
      <c r="I195" s="336"/>
      <c r="J195" s="147"/>
      <c r="K195" s="146">
        <f>(E195+H195)*10%</f>
        <v>604.9</v>
      </c>
      <c r="L195" s="146">
        <f aca="true" t="shared" si="1" ref="L195:L202">(E195*C195)+F195+G195+H195+J195+K195</f>
        <v>6653.9</v>
      </c>
      <c r="M195" s="68"/>
    </row>
    <row r="196" spans="1:13" s="55" customFormat="1" ht="21.75" customHeight="1" thickBot="1">
      <c r="A196" s="125"/>
      <c r="B196" s="224" t="s">
        <v>100</v>
      </c>
      <c r="C196" s="147">
        <v>1</v>
      </c>
      <c r="D196" s="147">
        <v>10</v>
      </c>
      <c r="E196" s="146">
        <v>4859</v>
      </c>
      <c r="F196" s="147"/>
      <c r="G196" s="147"/>
      <c r="H196" s="285">
        <f>E196*15%*C196</f>
        <v>728.85</v>
      </c>
      <c r="I196" s="336"/>
      <c r="J196" s="147"/>
      <c r="K196" s="146"/>
      <c r="L196" s="146">
        <f t="shared" si="1"/>
        <v>5587.85</v>
      </c>
      <c r="M196" s="57"/>
    </row>
    <row r="197" spans="1:13" s="55" customFormat="1" ht="21.75" customHeight="1" thickBot="1">
      <c r="A197" s="125"/>
      <c r="B197" s="224" t="s">
        <v>217</v>
      </c>
      <c r="C197" s="147">
        <v>0.5</v>
      </c>
      <c r="D197" s="147">
        <v>9</v>
      </c>
      <c r="E197" s="146">
        <v>4619</v>
      </c>
      <c r="F197" s="147"/>
      <c r="G197" s="147"/>
      <c r="H197" s="285">
        <f>E197*15%*C197</f>
        <v>346.425</v>
      </c>
      <c r="I197" s="336"/>
      <c r="J197" s="147"/>
      <c r="K197" s="146"/>
      <c r="L197" s="146">
        <f t="shared" si="1"/>
        <v>2655.925</v>
      </c>
      <c r="M197" s="57"/>
    </row>
    <row r="198" spans="1:13" s="55" customFormat="1" ht="19.5" thickBot="1">
      <c r="A198" s="125"/>
      <c r="B198" s="153" t="s">
        <v>116</v>
      </c>
      <c r="C198" s="147">
        <v>1</v>
      </c>
      <c r="D198" s="147">
        <v>8</v>
      </c>
      <c r="E198" s="146">
        <v>4379</v>
      </c>
      <c r="F198" s="147"/>
      <c r="G198" s="147"/>
      <c r="H198" s="285">
        <f>E198*15%</f>
        <v>656.85</v>
      </c>
      <c r="I198" s="336"/>
      <c r="J198" s="147"/>
      <c r="K198" s="146">
        <f>((E198*C198)+H198)*0.3</f>
        <v>1510.755</v>
      </c>
      <c r="L198" s="146">
        <f t="shared" si="1"/>
        <v>6546.6050000000005</v>
      </c>
      <c r="M198" s="68"/>
    </row>
    <row r="199" spans="1:13" s="55" customFormat="1" ht="19.5" thickBot="1">
      <c r="A199" s="125"/>
      <c r="B199" s="153" t="s">
        <v>116</v>
      </c>
      <c r="C199" s="147">
        <v>1</v>
      </c>
      <c r="D199" s="147">
        <v>7</v>
      </c>
      <c r="E199" s="146">
        <v>4112</v>
      </c>
      <c r="F199" s="147"/>
      <c r="G199" s="147"/>
      <c r="H199" s="285">
        <f>E199*0.15</f>
        <v>616.8</v>
      </c>
      <c r="I199" s="286"/>
      <c r="J199" s="147"/>
      <c r="K199" s="146">
        <f>(E199+H199)*0.1</f>
        <v>472.88000000000005</v>
      </c>
      <c r="L199" s="146">
        <f t="shared" si="1"/>
        <v>5201.68</v>
      </c>
      <c r="M199" s="68"/>
    </row>
    <row r="200" spans="1:13" s="55" customFormat="1" ht="21.75" customHeight="1" thickBot="1">
      <c r="A200" s="125"/>
      <c r="B200" s="154" t="s">
        <v>157</v>
      </c>
      <c r="C200" s="147">
        <v>1</v>
      </c>
      <c r="D200" s="147">
        <v>6</v>
      </c>
      <c r="E200" s="146">
        <v>3872</v>
      </c>
      <c r="F200" s="147"/>
      <c r="G200" s="147"/>
      <c r="H200" s="285">
        <f>E200*0.15</f>
        <v>580.8</v>
      </c>
      <c r="I200" s="286"/>
      <c r="J200" s="147"/>
      <c r="K200" s="146">
        <f>(E200+H200)*0.1</f>
        <v>445.28000000000003</v>
      </c>
      <c r="L200" s="146">
        <f t="shared" si="1"/>
        <v>4898.08</v>
      </c>
      <c r="M200" s="68"/>
    </row>
    <row r="201" spans="1:13" s="55" customFormat="1" ht="36.75" customHeight="1" thickBot="1">
      <c r="A201" s="125"/>
      <c r="B201" s="224" t="s">
        <v>117</v>
      </c>
      <c r="C201" s="147">
        <v>1</v>
      </c>
      <c r="D201" s="147">
        <v>6</v>
      </c>
      <c r="E201" s="146">
        <v>3872</v>
      </c>
      <c r="F201" s="147"/>
      <c r="G201" s="147"/>
      <c r="H201" s="285">
        <f>(E201*C201)*0.15</f>
        <v>580.8</v>
      </c>
      <c r="I201" s="286"/>
      <c r="J201" s="147"/>
      <c r="K201" s="146">
        <f>(E201*C201+H201)*0.3</f>
        <v>1335.84</v>
      </c>
      <c r="L201" s="146">
        <f t="shared" si="1"/>
        <v>5788.64</v>
      </c>
      <c r="M201" s="68"/>
    </row>
    <row r="202" spans="1:13" s="55" customFormat="1" ht="39" customHeight="1" thickBot="1">
      <c r="A202" s="125"/>
      <c r="B202" s="153" t="s">
        <v>117</v>
      </c>
      <c r="C202" s="147">
        <v>1</v>
      </c>
      <c r="D202" s="147">
        <v>6</v>
      </c>
      <c r="E202" s="146">
        <v>3872</v>
      </c>
      <c r="F202" s="147"/>
      <c r="G202" s="147"/>
      <c r="H202" s="285">
        <f>(E202*C202)*0.15</f>
        <v>580.8</v>
      </c>
      <c r="I202" s="286"/>
      <c r="J202" s="147"/>
      <c r="K202" s="146"/>
      <c r="L202" s="146">
        <f t="shared" si="1"/>
        <v>4452.8</v>
      </c>
      <c r="M202" s="75"/>
    </row>
    <row r="203" spans="1:13" s="55" customFormat="1" ht="57" thickBot="1">
      <c r="A203" s="125"/>
      <c r="B203" s="224" t="s">
        <v>158</v>
      </c>
      <c r="C203" s="147">
        <v>1</v>
      </c>
      <c r="D203" s="147">
        <v>4</v>
      </c>
      <c r="E203" s="146">
        <v>3391</v>
      </c>
      <c r="F203" s="146"/>
      <c r="G203" s="146"/>
      <c r="H203" s="285">
        <f>E203*15%</f>
        <v>508.65</v>
      </c>
      <c r="I203" s="336"/>
      <c r="J203" s="146">
        <f>(E203+H203)*10%</f>
        <v>389.96500000000003</v>
      </c>
      <c r="K203" s="146"/>
      <c r="L203" s="146">
        <f>E203+H203+J203</f>
        <v>4289.615</v>
      </c>
      <c r="M203" s="68"/>
    </row>
    <row r="204" spans="1:13" s="55" customFormat="1" ht="19.5" thickBot="1">
      <c r="A204" s="125"/>
      <c r="B204" s="153" t="s">
        <v>124</v>
      </c>
      <c r="C204" s="147">
        <v>0.5</v>
      </c>
      <c r="D204" s="147">
        <v>12</v>
      </c>
      <c r="E204" s="146">
        <v>5660</v>
      </c>
      <c r="F204" s="146"/>
      <c r="G204" s="147"/>
      <c r="H204" s="310"/>
      <c r="I204" s="311"/>
      <c r="J204" s="147"/>
      <c r="K204" s="146">
        <f>(C204*E204)*0.3</f>
        <v>849</v>
      </c>
      <c r="L204" s="146">
        <f>(C204*E204)+K204</f>
        <v>3679</v>
      </c>
      <c r="M204" s="68"/>
    </row>
    <row r="205" spans="1:12" s="11" customFormat="1" ht="2.25" customHeight="1" hidden="1" thickBot="1">
      <c r="A205" s="113"/>
      <c r="B205" s="153"/>
      <c r="C205" s="147"/>
      <c r="D205" s="147"/>
      <c r="E205" s="146"/>
      <c r="F205" s="147"/>
      <c r="G205" s="147"/>
      <c r="H205" s="285"/>
      <c r="I205" s="286"/>
      <c r="J205" s="147"/>
      <c r="K205" s="147"/>
      <c r="L205" s="146"/>
    </row>
    <row r="206" spans="1:12" s="11" customFormat="1" ht="16.5" customHeight="1" hidden="1" thickBot="1">
      <c r="A206" s="113"/>
      <c r="B206" s="153"/>
      <c r="C206" s="147"/>
      <c r="D206" s="147"/>
      <c r="E206" s="146"/>
      <c r="F206" s="147"/>
      <c r="G206" s="147"/>
      <c r="H206" s="285"/>
      <c r="I206" s="286"/>
      <c r="J206" s="147"/>
      <c r="K206" s="146"/>
      <c r="L206" s="146"/>
    </row>
    <row r="207" spans="1:12" s="11" customFormat="1" ht="1.5" customHeight="1" hidden="1" thickBot="1">
      <c r="A207" s="113"/>
      <c r="B207" s="225"/>
      <c r="C207" s="147"/>
      <c r="D207" s="147"/>
      <c r="E207" s="146"/>
      <c r="F207" s="147"/>
      <c r="G207" s="147"/>
      <c r="H207" s="285"/>
      <c r="I207" s="286"/>
      <c r="J207" s="147"/>
      <c r="K207" s="146"/>
      <c r="L207" s="146"/>
    </row>
    <row r="208" spans="1:13" s="55" customFormat="1" ht="37.5" customHeight="1" thickBot="1">
      <c r="A208" s="125"/>
      <c r="B208" s="153" t="s">
        <v>205</v>
      </c>
      <c r="C208" s="147">
        <v>1</v>
      </c>
      <c r="D208" s="147">
        <v>8</v>
      </c>
      <c r="E208" s="146">
        <v>4379</v>
      </c>
      <c r="F208" s="147"/>
      <c r="G208" s="147"/>
      <c r="H208" s="285">
        <f>C208*E208*15%</f>
        <v>656.85</v>
      </c>
      <c r="I208" s="336"/>
      <c r="J208" s="147"/>
      <c r="K208" s="146">
        <f>((C208*E208)+H208)*0.2</f>
        <v>1007.1700000000001</v>
      </c>
      <c r="L208" s="146">
        <f>(C208*E208)+H208+K208</f>
        <v>6043.02</v>
      </c>
      <c r="M208" s="68"/>
    </row>
    <row r="209" spans="1:13" s="55" customFormat="1" ht="36.75" customHeight="1" thickBot="1">
      <c r="A209" s="125"/>
      <c r="B209" s="153" t="s">
        <v>205</v>
      </c>
      <c r="C209" s="147">
        <v>1</v>
      </c>
      <c r="D209" s="147">
        <v>6</v>
      </c>
      <c r="E209" s="146">
        <v>3872</v>
      </c>
      <c r="F209" s="147"/>
      <c r="G209" s="147"/>
      <c r="H209" s="285">
        <f>C209*E209*15%</f>
        <v>580.8</v>
      </c>
      <c r="I209" s="336"/>
      <c r="J209" s="147"/>
      <c r="K209" s="146"/>
      <c r="L209" s="146">
        <f>(C209*E209)+H209+K209</f>
        <v>4452.8</v>
      </c>
      <c r="M209" s="68"/>
    </row>
    <row r="210" spans="1:13" s="55" customFormat="1" ht="35.25" customHeight="1" thickBot="1">
      <c r="A210" s="125"/>
      <c r="B210" s="153" t="s">
        <v>182</v>
      </c>
      <c r="C210" s="147">
        <v>0.5</v>
      </c>
      <c r="D210" s="147">
        <v>6</v>
      </c>
      <c r="E210" s="146">
        <v>3872</v>
      </c>
      <c r="F210" s="147"/>
      <c r="G210" s="147"/>
      <c r="H210" s="310"/>
      <c r="I210" s="311"/>
      <c r="J210" s="147"/>
      <c r="K210" s="146">
        <f>((C210*E210)+H210)*0.2</f>
        <v>387.20000000000005</v>
      </c>
      <c r="L210" s="146">
        <f>(C210*E210)+K210</f>
        <v>2323.2</v>
      </c>
      <c r="M210" s="68"/>
    </row>
    <row r="211" spans="1:13" s="55" customFormat="1" ht="35.25" customHeight="1" thickBot="1">
      <c r="A211" s="125"/>
      <c r="B211" s="153" t="s">
        <v>182</v>
      </c>
      <c r="C211" s="147">
        <v>0.5</v>
      </c>
      <c r="D211" s="147">
        <v>7</v>
      </c>
      <c r="E211" s="146">
        <v>4112</v>
      </c>
      <c r="F211" s="147"/>
      <c r="G211" s="147"/>
      <c r="H211" s="310"/>
      <c r="I211" s="311"/>
      <c r="J211" s="147"/>
      <c r="K211" s="146">
        <f>(E211*C211)*0.2</f>
        <v>411.20000000000005</v>
      </c>
      <c r="L211" s="146">
        <f>(C211*E211)+K211</f>
        <v>2467.2</v>
      </c>
      <c r="M211" s="68"/>
    </row>
    <row r="212" spans="1:13" s="55" customFormat="1" ht="57" thickBot="1">
      <c r="A212" s="125"/>
      <c r="B212" s="153" t="s">
        <v>150</v>
      </c>
      <c r="C212" s="147">
        <v>0.5</v>
      </c>
      <c r="D212" s="147">
        <v>6</v>
      </c>
      <c r="E212" s="146">
        <v>3872</v>
      </c>
      <c r="F212" s="147"/>
      <c r="G212" s="147"/>
      <c r="H212" s="310"/>
      <c r="I212" s="311"/>
      <c r="J212" s="147"/>
      <c r="K212" s="146">
        <f>(E212*C212)*0.3</f>
        <v>580.8</v>
      </c>
      <c r="L212" s="146">
        <f>(C212*E212)+K212</f>
        <v>2516.8</v>
      </c>
      <c r="M212" s="68"/>
    </row>
    <row r="213" spans="1:12" s="11" customFormat="1" ht="0.75" customHeight="1" thickBot="1">
      <c r="A213" s="207"/>
      <c r="B213" s="153"/>
      <c r="C213" s="147"/>
      <c r="D213" s="147"/>
      <c r="E213" s="146"/>
      <c r="F213" s="147"/>
      <c r="G213" s="147"/>
      <c r="H213" s="332"/>
      <c r="I213" s="333"/>
      <c r="J213" s="147"/>
      <c r="K213" s="146"/>
      <c r="L213" s="146">
        <f>(C213*E213)+K213</f>
        <v>0</v>
      </c>
    </row>
    <row r="214" spans="1:12" s="55" customFormat="1" ht="37.5" customHeight="1" thickBot="1">
      <c r="A214" s="125"/>
      <c r="B214" s="224" t="s">
        <v>181</v>
      </c>
      <c r="C214" s="147">
        <v>0.5</v>
      </c>
      <c r="D214" s="147">
        <v>3</v>
      </c>
      <c r="E214" s="146">
        <v>3151</v>
      </c>
      <c r="F214" s="147"/>
      <c r="G214" s="147"/>
      <c r="H214" s="285">
        <f>C214*E214*10%</f>
        <v>157.55</v>
      </c>
      <c r="I214" s="375"/>
      <c r="J214" s="147"/>
      <c r="K214" s="146"/>
      <c r="L214" s="146">
        <f>(C214*E214)+H214</f>
        <v>1733.05</v>
      </c>
    </row>
    <row r="215" spans="1:13" s="55" customFormat="1" ht="38.25" thickBot="1">
      <c r="A215" s="125"/>
      <c r="B215" s="153" t="s">
        <v>115</v>
      </c>
      <c r="C215" s="147">
        <v>0.5</v>
      </c>
      <c r="D215" s="147">
        <v>12</v>
      </c>
      <c r="E215" s="146">
        <v>5660</v>
      </c>
      <c r="F215" s="147"/>
      <c r="G215" s="147"/>
      <c r="H215" s="310"/>
      <c r="I215" s="311"/>
      <c r="J215" s="147"/>
      <c r="K215" s="146">
        <f>(E215*C215)*0.2</f>
        <v>566</v>
      </c>
      <c r="L215" s="146">
        <f>(E215*C215)+F215+G215+I215+J215+K215</f>
        <v>3396</v>
      </c>
      <c r="M215" s="68"/>
    </row>
    <row r="216" spans="1:13" s="55" customFormat="1" ht="57" thickBot="1">
      <c r="A216" s="125"/>
      <c r="B216" s="153" t="s">
        <v>151</v>
      </c>
      <c r="C216" s="147">
        <v>0.75</v>
      </c>
      <c r="D216" s="147">
        <v>8</v>
      </c>
      <c r="E216" s="146">
        <v>4379</v>
      </c>
      <c r="F216" s="147"/>
      <c r="G216" s="147"/>
      <c r="H216" s="310"/>
      <c r="I216" s="311"/>
      <c r="J216" s="147"/>
      <c r="K216" s="146">
        <f>E216*0.2*0.75</f>
        <v>656.85</v>
      </c>
      <c r="L216" s="146">
        <f>(E216*C216)+F216+G216+I216+J216+K216</f>
        <v>3941.1</v>
      </c>
      <c r="M216" s="68"/>
    </row>
    <row r="217" spans="1:12" s="55" customFormat="1" ht="20.25" customHeight="1" thickBot="1">
      <c r="A217" s="125"/>
      <c r="B217" s="153" t="s">
        <v>50</v>
      </c>
      <c r="C217" s="147">
        <v>0.5</v>
      </c>
      <c r="D217" s="147">
        <v>11</v>
      </c>
      <c r="E217" s="146">
        <v>5260</v>
      </c>
      <c r="F217" s="147"/>
      <c r="G217" s="147"/>
      <c r="H217" s="285">
        <f>(E217*C217)*0.15</f>
        <v>394.5</v>
      </c>
      <c r="I217" s="286"/>
      <c r="J217" s="147"/>
      <c r="K217" s="147"/>
      <c r="L217" s="130">
        <f>(C217*E217)+F217+G217+H217+J217+K217</f>
        <v>3024.5</v>
      </c>
    </row>
    <row r="218" spans="1:12" s="55" customFormat="1" ht="19.5" hidden="1" thickBot="1">
      <c r="A218" s="113"/>
      <c r="B218" s="153"/>
      <c r="C218" s="147"/>
      <c r="D218" s="147"/>
      <c r="E218" s="146"/>
      <c r="F218" s="147"/>
      <c r="G218" s="147">
        <f>(E218*C218)*0.15</f>
        <v>0</v>
      </c>
      <c r="H218" s="310"/>
      <c r="I218" s="311"/>
      <c r="J218" s="147"/>
      <c r="K218" s="147"/>
      <c r="L218" s="130"/>
    </row>
    <row r="219" spans="1:12" s="55" customFormat="1" ht="19.5" hidden="1" thickBot="1">
      <c r="A219" s="113"/>
      <c r="B219" s="153"/>
      <c r="C219" s="147"/>
      <c r="D219" s="147"/>
      <c r="E219" s="146"/>
      <c r="F219" s="147"/>
      <c r="G219" s="147"/>
      <c r="H219" s="310"/>
      <c r="I219" s="311"/>
      <c r="J219" s="147"/>
      <c r="K219" s="147"/>
      <c r="L219" s="130"/>
    </row>
    <row r="220" spans="1:12" s="55" customFormat="1" ht="0.75" customHeight="1" hidden="1" thickBot="1">
      <c r="A220" s="113"/>
      <c r="B220" s="153"/>
      <c r="C220" s="147"/>
      <c r="D220" s="147"/>
      <c r="E220" s="146"/>
      <c r="F220" s="147"/>
      <c r="G220" s="147">
        <f>(E220*C220)*0.15</f>
        <v>0</v>
      </c>
      <c r="H220" s="310"/>
      <c r="I220" s="311"/>
      <c r="J220" s="147"/>
      <c r="K220" s="147"/>
      <c r="L220" s="130">
        <f>(C220*E220)+F220+G220+H220+J220+K220</f>
        <v>0</v>
      </c>
    </row>
    <row r="221" spans="1:12" s="55" customFormat="1" ht="19.5" hidden="1" thickBot="1">
      <c r="A221" s="113"/>
      <c r="B221" s="153"/>
      <c r="C221" s="147"/>
      <c r="D221" s="147"/>
      <c r="E221" s="146"/>
      <c r="F221" s="147"/>
      <c r="G221" s="147">
        <f>(E221*C221)*0.15</f>
        <v>0</v>
      </c>
      <c r="H221" s="310"/>
      <c r="I221" s="311"/>
      <c r="J221" s="147"/>
      <c r="K221" s="147"/>
      <c r="L221" s="130">
        <f>(C221*E221)+F221+G221+H221+J221+K221</f>
        <v>0</v>
      </c>
    </row>
    <row r="222" spans="1:12" s="55" customFormat="1" ht="0.75" customHeight="1" thickBot="1">
      <c r="A222" s="113"/>
      <c r="B222" s="153"/>
      <c r="C222" s="147"/>
      <c r="D222" s="147"/>
      <c r="E222" s="146"/>
      <c r="F222" s="147"/>
      <c r="G222" s="147"/>
      <c r="H222" s="310"/>
      <c r="I222" s="311"/>
      <c r="J222" s="147"/>
      <c r="K222" s="147"/>
      <c r="L222" s="130"/>
    </row>
    <row r="223" spans="1:13" s="55" customFormat="1" ht="37.5" customHeight="1" thickBot="1">
      <c r="A223" s="125"/>
      <c r="B223" s="153" t="s">
        <v>152</v>
      </c>
      <c r="C223" s="147">
        <v>0.5</v>
      </c>
      <c r="D223" s="147">
        <v>8</v>
      </c>
      <c r="E223" s="146">
        <v>4379</v>
      </c>
      <c r="F223" s="147"/>
      <c r="G223" s="147"/>
      <c r="H223" s="310"/>
      <c r="I223" s="311"/>
      <c r="J223" s="147"/>
      <c r="K223" s="146">
        <f>C223*E223*0.2</f>
        <v>437.90000000000003</v>
      </c>
      <c r="L223" s="130">
        <f>(C223*E223)+K223</f>
        <v>2627.4</v>
      </c>
      <c r="M223" s="68"/>
    </row>
    <row r="224" spans="1:13" s="55" customFormat="1" ht="18.75" customHeight="1" thickBot="1">
      <c r="A224" s="125"/>
      <c r="B224" s="153" t="s">
        <v>51</v>
      </c>
      <c r="C224" s="147">
        <v>0.5</v>
      </c>
      <c r="D224" s="147">
        <v>4</v>
      </c>
      <c r="E224" s="146">
        <v>3391</v>
      </c>
      <c r="F224" s="147"/>
      <c r="G224" s="155"/>
      <c r="H224" s="285">
        <f>E224*C224*0.15</f>
        <v>254.325</v>
      </c>
      <c r="I224" s="286"/>
      <c r="J224" s="147"/>
      <c r="K224" s="147"/>
      <c r="L224" s="130">
        <f>(C224*E224)+F224+G224+H224+J224+K224</f>
        <v>1949.825</v>
      </c>
      <c r="M224" s="68"/>
    </row>
    <row r="225" spans="1:12" ht="21" customHeight="1">
      <c r="A225" s="111"/>
      <c r="B225" s="298" t="s">
        <v>37</v>
      </c>
      <c r="C225" s="292">
        <f>C132+C133+C134+C135+C136+C137+C138+C140+C141+C142+C143+C144+C145+C146+C147+C148+C150+C151+C152+C155+C156+C158+C159+C160+C161+C162+C163+C165+C166+C167+C169+C172+C173+C174+C175+C176+C177+C178+C179+C180+C182+C183+C184+C185+C186+C187+C188+C189+C190+C191+C192+C193+C195+C196+C197+C198+C199+C200+C201+C202+C203+C204+C208+C209+C210+C211+C212+C214+C215+C216+C217+C223+C224</f>
        <v>59</v>
      </c>
      <c r="D225" s="298"/>
      <c r="E225" s="292">
        <f>E132+E137+E138+E148+E150+E151+E152+E158+E159+E161+E162+E165+E166+E167+E172+E174+E175+E176+E177+E178+E183+E185+E186+E187+E188+E195+E198+E199+E200+E201+E203+E208</f>
        <v>152272</v>
      </c>
      <c r="F225" s="299">
        <f>F132+F161</f>
        <v>1852.9</v>
      </c>
      <c r="G225" s="389"/>
      <c r="H225" s="392">
        <f>SUM(H145:H224)</f>
        <v>24158.987499999992</v>
      </c>
      <c r="I225" s="309"/>
      <c r="J225" s="292">
        <f>J141+J162+J165+J167+J177+J178+J179+J182+J184+J192+J193+J203</f>
        <v>5967.31</v>
      </c>
      <c r="K225" s="292">
        <f>K132+K133+K134+K135+K136+K137+K138+K140+K141+K142+K143+K144+K145+K146+K147+K148+K149+K150+K151+K152+K154+K156+K158+K159+K160+K161+K162+K163+K165+K166+K167+K168+K169+K172+K173+K174+K175+K176+K177+K178+K179+K180+K182+K183+K184+K185+K186+K187+K188+K189+K190+K191+K192+K193+K195+K196+K198+K199+K200+K201+K202+K203+K204+K208+K210+K211+K212+K214+K215+K216+K217+K223+K224</f>
        <v>62017.95</v>
      </c>
      <c r="L225" s="292">
        <f>L132+L133+L134+L135+L136+L137+L138+L140+L141+L142+L143+L144+L145+L146+L147+L148+L149+L150+L151+L152+L154+L156+L158+L159+L160+L161+L162+L163+L165+L166+L167+L168+L169+L172+L173+L174+L175+L176+L177+L178+L179+L180+L182+L183+L184+L185+L186+L187+L188+L189+L190+L191+L192+L193+L195+L196+L197+L198+L199+L200+L201+L202+L203+L204+L208+L209+L210+L211+L212+L214+L215+L216+L217+L223+L224</f>
        <v>364427.4074999999</v>
      </c>
    </row>
    <row r="226" spans="1:12" ht="18.75">
      <c r="A226" s="111"/>
      <c r="B226" s="296"/>
      <c r="C226" s="283"/>
      <c r="D226" s="296"/>
      <c r="E226" s="296"/>
      <c r="F226" s="290"/>
      <c r="G226" s="390"/>
      <c r="H226" s="226" t="s">
        <v>59</v>
      </c>
      <c r="I226" s="160">
        <f>C132+C133+C134+C135+C136+C137+C138+C140+C141+C142+C143+C144+C145+C146+C147+C148+C150+C151+C152+C155+C156+C158+C159+C160+C185+C186+C187+C188+C189+C190+C191+C195+C196+C197+C204+C215+C217</f>
        <v>24</v>
      </c>
      <c r="J226" s="296"/>
      <c r="K226" s="283"/>
      <c r="L226" s="283"/>
    </row>
    <row r="227" spans="1:13" ht="37.5">
      <c r="A227" s="111"/>
      <c r="B227" s="296"/>
      <c r="C227" s="283"/>
      <c r="D227" s="296"/>
      <c r="E227" s="296"/>
      <c r="F227" s="290"/>
      <c r="G227" s="390"/>
      <c r="H227" s="226" t="s">
        <v>60</v>
      </c>
      <c r="I227" s="227">
        <f>C161+C162+C163+C165+C166+C167+C169+C172+C173+C174+C175+C176+C177+C178+C179+C180+C182+C192+C198+C199+C200+C201+C202+C208+C209+C210+C211+C212+C216+C223</f>
        <v>27</v>
      </c>
      <c r="J227" s="296"/>
      <c r="K227" s="283"/>
      <c r="L227" s="283"/>
      <c r="M227" s="6"/>
    </row>
    <row r="228" spans="1:13" ht="37.5">
      <c r="A228" s="111"/>
      <c r="B228" s="296"/>
      <c r="C228" s="283"/>
      <c r="D228" s="296"/>
      <c r="E228" s="296"/>
      <c r="F228" s="290"/>
      <c r="G228" s="390"/>
      <c r="H228" s="226" t="s">
        <v>62</v>
      </c>
      <c r="I228" s="227">
        <f>C184+C193+C203+C214</f>
        <v>6.5</v>
      </c>
      <c r="J228" s="296"/>
      <c r="K228" s="283"/>
      <c r="L228" s="283"/>
      <c r="M228" s="6"/>
    </row>
    <row r="229" spans="1:12" ht="19.5" thickBot="1">
      <c r="A229" s="111"/>
      <c r="B229" s="297"/>
      <c r="C229" s="284"/>
      <c r="D229" s="297"/>
      <c r="E229" s="297"/>
      <c r="F229" s="300"/>
      <c r="G229" s="391"/>
      <c r="H229" s="189" t="s">
        <v>76</v>
      </c>
      <c r="I229" s="200">
        <f>C183+C224</f>
        <v>1.5</v>
      </c>
      <c r="J229" s="297"/>
      <c r="K229" s="284"/>
      <c r="L229" s="284"/>
    </row>
    <row r="230" spans="1:12" ht="16.5" customHeight="1" thickBot="1">
      <c r="A230" s="111"/>
      <c r="B230" s="167"/>
      <c r="C230" s="186"/>
      <c r="D230" s="186"/>
      <c r="E230" s="186"/>
      <c r="F230" s="186"/>
      <c r="G230" s="187"/>
      <c r="H230" s="188"/>
      <c r="I230" s="189"/>
      <c r="J230" s="187"/>
      <c r="K230" s="186"/>
      <c r="L230" s="179"/>
    </row>
    <row r="231" spans="1:12" ht="16.5" customHeight="1" thickBot="1">
      <c r="A231" s="111"/>
      <c r="B231" s="306" t="s">
        <v>137</v>
      </c>
      <c r="C231" s="307"/>
      <c r="D231" s="307"/>
      <c r="E231" s="307"/>
      <c r="F231" s="307"/>
      <c r="G231" s="307"/>
      <c r="H231" s="307"/>
      <c r="I231" s="307"/>
      <c r="J231" s="307"/>
      <c r="K231" s="307"/>
      <c r="L231" s="308"/>
    </row>
    <row r="232" spans="1:13" s="55" customFormat="1" ht="19.5" thickBot="1">
      <c r="A232" s="125"/>
      <c r="B232" s="153" t="s">
        <v>21</v>
      </c>
      <c r="C232" s="147">
        <v>0.75</v>
      </c>
      <c r="D232" s="147">
        <v>13</v>
      </c>
      <c r="E232" s="146">
        <v>6061</v>
      </c>
      <c r="F232" s="147"/>
      <c r="G232" s="147"/>
      <c r="H232" s="310"/>
      <c r="I232" s="311"/>
      <c r="J232" s="147"/>
      <c r="K232" s="146">
        <f>(E232*C232)*0.3</f>
        <v>1363.725</v>
      </c>
      <c r="L232" s="146">
        <f aca="true" t="shared" si="2" ref="L232:L241">(E232*C232)+F232+G232+I232+J232+K232</f>
        <v>5909.475</v>
      </c>
      <c r="M232" s="68"/>
    </row>
    <row r="233" spans="1:12" s="55" customFormat="1" ht="16.5" customHeight="1" hidden="1" thickBot="1">
      <c r="A233" s="125"/>
      <c r="B233" s="153"/>
      <c r="C233" s="147"/>
      <c r="D233" s="147"/>
      <c r="E233" s="146"/>
      <c r="F233" s="147"/>
      <c r="G233" s="147"/>
      <c r="H233" s="310"/>
      <c r="I233" s="311"/>
      <c r="J233" s="147"/>
      <c r="K233" s="146">
        <f>(E233*C233)*0.3</f>
        <v>0</v>
      </c>
      <c r="L233" s="146">
        <f t="shared" si="2"/>
        <v>0</v>
      </c>
    </row>
    <row r="234" spans="1:13" s="55" customFormat="1" ht="15.75" customHeight="1" thickBot="1">
      <c r="A234" s="125"/>
      <c r="B234" s="153" t="s">
        <v>23</v>
      </c>
      <c r="C234" s="147">
        <v>1</v>
      </c>
      <c r="D234" s="147">
        <v>10</v>
      </c>
      <c r="E234" s="146">
        <v>4859</v>
      </c>
      <c r="F234" s="147"/>
      <c r="G234" s="147"/>
      <c r="H234" s="117"/>
      <c r="I234" s="110"/>
      <c r="J234" s="147"/>
      <c r="K234" s="146"/>
      <c r="L234" s="146">
        <f t="shared" si="2"/>
        <v>4859</v>
      </c>
      <c r="M234" s="78"/>
    </row>
    <row r="235" spans="1:13" s="11" customFormat="1" ht="15.75" customHeight="1" thickBot="1">
      <c r="A235" s="207"/>
      <c r="B235" s="228" t="s">
        <v>215</v>
      </c>
      <c r="C235" s="229">
        <v>0.5</v>
      </c>
      <c r="D235" s="229">
        <v>11</v>
      </c>
      <c r="E235" s="230">
        <v>5260</v>
      </c>
      <c r="F235" s="229"/>
      <c r="G235" s="229"/>
      <c r="H235" s="231"/>
      <c r="I235" s="232"/>
      <c r="J235" s="229"/>
      <c r="K235" s="230">
        <f>(C235*E235)*20%</f>
        <v>526</v>
      </c>
      <c r="L235" s="230">
        <f>(C235*E235)+K235</f>
        <v>3156</v>
      </c>
      <c r="M235" s="102"/>
    </row>
    <row r="236" spans="1:13" s="55" customFormat="1" ht="38.25" thickBot="1">
      <c r="A236" s="125"/>
      <c r="B236" s="153" t="s">
        <v>145</v>
      </c>
      <c r="C236" s="147">
        <v>1</v>
      </c>
      <c r="D236" s="147">
        <v>8</v>
      </c>
      <c r="E236" s="146">
        <v>4379</v>
      </c>
      <c r="F236" s="147"/>
      <c r="G236" s="147"/>
      <c r="H236" s="310"/>
      <c r="I236" s="311"/>
      <c r="J236" s="147"/>
      <c r="K236" s="146">
        <f>E236*0.3</f>
        <v>1313.7</v>
      </c>
      <c r="L236" s="146">
        <f t="shared" si="2"/>
        <v>5692.7</v>
      </c>
      <c r="M236" s="68"/>
    </row>
    <row r="237" spans="1:13" s="55" customFormat="1" ht="38.25" thickBot="1">
      <c r="A237" s="125"/>
      <c r="B237" s="153" t="s">
        <v>145</v>
      </c>
      <c r="C237" s="147">
        <v>1</v>
      </c>
      <c r="D237" s="147">
        <v>7</v>
      </c>
      <c r="E237" s="146">
        <v>4112</v>
      </c>
      <c r="F237" s="147"/>
      <c r="G237" s="147"/>
      <c r="H237" s="310"/>
      <c r="I237" s="311"/>
      <c r="J237" s="147"/>
      <c r="K237" s="146">
        <f>E237*0.2</f>
        <v>822.4000000000001</v>
      </c>
      <c r="L237" s="146">
        <f t="shared" si="2"/>
        <v>4934.4</v>
      </c>
      <c r="M237" s="68"/>
    </row>
    <row r="238" spans="1:13" s="55" customFormat="1" ht="38.25" thickBot="1">
      <c r="A238" s="125"/>
      <c r="B238" s="153" t="s">
        <v>145</v>
      </c>
      <c r="C238" s="147">
        <v>1</v>
      </c>
      <c r="D238" s="147">
        <v>7</v>
      </c>
      <c r="E238" s="146">
        <v>4112</v>
      </c>
      <c r="F238" s="147"/>
      <c r="G238" s="147"/>
      <c r="H238" s="310"/>
      <c r="I238" s="311"/>
      <c r="J238" s="147"/>
      <c r="K238" s="146">
        <f>E238*0.3</f>
        <v>1233.6</v>
      </c>
      <c r="L238" s="146">
        <f t="shared" si="2"/>
        <v>5345.6</v>
      </c>
      <c r="M238" s="68"/>
    </row>
    <row r="239" spans="1:13" s="55" customFormat="1" ht="38.25" thickBot="1">
      <c r="A239" s="125"/>
      <c r="B239" s="153" t="s">
        <v>145</v>
      </c>
      <c r="C239" s="147">
        <v>1</v>
      </c>
      <c r="D239" s="147">
        <v>7</v>
      </c>
      <c r="E239" s="146">
        <v>4112</v>
      </c>
      <c r="F239" s="147"/>
      <c r="G239" s="147"/>
      <c r="H239" s="310"/>
      <c r="I239" s="311"/>
      <c r="J239" s="147"/>
      <c r="K239" s="146">
        <f>E239*0.2</f>
        <v>822.4000000000001</v>
      </c>
      <c r="L239" s="146">
        <f t="shared" si="2"/>
        <v>4934.4</v>
      </c>
      <c r="M239" s="68"/>
    </row>
    <row r="240" spans="1:13" s="55" customFormat="1" ht="38.25" thickBot="1">
      <c r="A240" s="125"/>
      <c r="B240" s="153" t="s">
        <v>145</v>
      </c>
      <c r="C240" s="147">
        <v>0.75</v>
      </c>
      <c r="D240" s="147">
        <v>7</v>
      </c>
      <c r="E240" s="146">
        <v>4112</v>
      </c>
      <c r="F240" s="147"/>
      <c r="G240" s="147"/>
      <c r="H240" s="310"/>
      <c r="I240" s="311"/>
      <c r="J240" s="147"/>
      <c r="K240" s="146">
        <f>(C240*E240)*0.1</f>
        <v>308.40000000000003</v>
      </c>
      <c r="L240" s="146">
        <f t="shared" si="2"/>
        <v>3392.4</v>
      </c>
      <c r="M240" s="68"/>
    </row>
    <row r="241" spans="1:12" s="55" customFormat="1" ht="57" thickBot="1">
      <c r="A241" s="125"/>
      <c r="B241" s="153" t="s">
        <v>146</v>
      </c>
      <c r="C241" s="147">
        <v>2.25</v>
      </c>
      <c r="D241" s="147">
        <v>3</v>
      </c>
      <c r="E241" s="146">
        <v>3151</v>
      </c>
      <c r="F241" s="147"/>
      <c r="G241" s="147"/>
      <c r="H241" s="332"/>
      <c r="I241" s="333"/>
      <c r="J241" s="146">
        <f>(E241*C241)*0.1</f>
        <v>708.975</v>
      </c>
      <c r="K241" s="146"/>
      <c r="L241" s="146">
        <f t="shared" si="2"/>
        <v>7798.725</v>
      </c>
    </row>
    <row r="242" spans="1:12" ht="15.75" customHeight="1">
      <c r="A242" s="111"/>
      <c r="B242" s="298" t="s">
        <v>15</v>
      </c>
      <c r="C242" s="298">
        <f>SUM(C232:C241)</f>
        <v>9.25</v>
      </c>
      <c r="D242" s="298"/>
      <c r="E242" s="292"/>
      <c r="F242" s="298"/>
      <c r="G242" s="298"/>
      <c r="H242" s="233" t="s">
        <v>67</v>
      </c>
      <c r="I242" s="234">
        <f>C232+C234+C235</f>
        <v>2.25</v>
      </c>
      <c r="J242" s="309">
        <f>SUM(J232:J241)</f>
        <v>708.975</v>
      </c>
      <c r="K242" s="292">
        <f>SUM(K232:K241)</f>
        <v>6390.225</v>
      </c>
      <c r="L242" s="292">
        <f>SUM(L232:L241)</f>
        <v>46022.7</v>
      </c>
    </row>
    <row r="243" spans="1:13" ht="15" customHeight="1">
      <c r="A243" s="111"/>
      <c r="B243" s="296"/>
      <c r="C243" s="296"/>
      <c r="D243" s="296"/>
      <c r="E243" s="296"/>
      <c r="F243" s="296"/>
      <c r="G243" s="296"/>
      <c r="H243" s="194" t="s">
        <v>57</v>
      </c>
      <c r="I243" s="235">
        <f>C236+C237+C238+C239+C240</f>
        <v>4.75</v>
      </c>
      <c r="J243" s="291"/>
      <c r="K243" s="283"/>
      <c r="L243" s="283"/>
      <c r="M243" s="6"/>
    </row>
    <row r="244" spans="1:12" ht="15.75" customHeight="1" thickBot="1">
      <c r="A244" s="111"/>
      <c r="B244" s="297"/>
      <c r="C244" s="297"/>
      <c r="D244" s="297"/>
      <c r="E244" s="297"/>
      <c r="F244" s="297"/>
      <c r="G244" s="297"/>
      <c r="H244" s="177" t="s">
        <v>68</v>
      </c>
      <c r="I244" s="200">
        <f>C241</f>
        <v>2.25</v>
      </c>
      <c r="J244" s="331"/>
      <c r="K244" s="297"/>
      <c r="L244" s="297"/>
    </row>
    <row r="245" spans="1:12" ht="15.75" customHeight="1" thickBot="1">
      <c r="A245" s="111"/>
      <c r="B245" s="186"/>
      <c r="C245" s="186"/>
      <c r="D245" s="186"/>
      <c r="E245" s="186"/>
      <c r="F245" s="186"/>
      <c r="G245" s="186"/>
      <c r="H245" s="236"/>
      <c r="I245" s="237"/>
      <c r="J245" s="187"/>
      <c r="K245" s="186"/>
      <c r="L245" s="186"/>
    </row>
    <row r="246" spans="1:12" ht="19.5" thickBot="1">
      <c r="A246" s="111"/>
      <c r="B246" s="307" t="s">
        <v>138</v>
      </c>
      <c r="C246" s="307"/>
      <c r="D246" s="307"/>
      <c r="E246" s="307"/>
      <c r="F246" s="307"/>
      <c r="G246" s="307"/>
      <c r="H246" s="307"/>
      <c r="I246" s="307"/>
      <c r="J246" s="307"/>
      <c r="K246" s="307"/>
      <c r="L246" s="307"/>
    </row>
    <row r="247" spans="1:12" ht="16.5" customHeight="1" thickBot="1">
      <c r="A247" s="111"/>
      <c r="B247" s="306" t="s">
        <v>207</v>
      </c>
      <c r="C247" s="307"/>
      <c r="D247" s="307"/>
      <c r="E247" s="307"/>
      <c r="F247" s="307"/>
      <c r="G247" s="307"/>
      <c r="H247" s="307"/>
      <c r="I247" s="307"/>
      <c r="J247" s="307"/>
      <c r="K247" s="307"/>
      <c r="L247" s="308"/>
    </row>
    <row r="248" spans="1:13" s="55" customFormat="1" ht="57" thickBot="1">
      <c r="A248" s="125"/>
      <c r="B248" s="199" t="s">
        <v>184</v>
      </c>
      <c r="C248" s="147">
        <v>1</v>
      </c>
      <c r="D248" s="147">
        <v>11</v>
      </c>
      <c r="E248" s="146">
        <v>5260</v>
      </c>
      <c r="F248" s="147"/>
      <c r="G248" s="152"/>
      <c r="H248" s="285">
        <f>(E248*C248)*0.15</f>
        <v>789</v>
      </c>
      <c r="I248" s="286"/>
      <c r="J248" s="147"/>
      <c r="K248" s="146">
        <f>((E248*C248)+H248)*0.3</f>
        <v>1814.7</v>
      </c>
      <c r="L248" s="116">
        <f>(E248*C248)+F248+G248+H248+J248+K248</f>
        <v>7863.7</v>
      </c>
      <c r="M248" s="68"/>
    </row>
    <row r="249" spans="1:13" s="55" customFormat="1" ht="38.25" thickBot="1">
      <c r="A249" s="125"/>
      <c r="B249" s="199" t="s">
        <v>159</v>
      </c>
      <c r="C249" s="147">
        <v>1</v>
      </c>
      <c r="D249" s="147">
        <v>8</v>
      </c>
      <c r="E249" s="146">
        <v>4379</v>
      </c>
      <c r="F249" s="147"/>
      <c r="G249" s="152"/>
      <c r="H249" s="285">
        <f>(E249*C249)*0.15</f>
        <v>656.85</v>
      </c>
      <c r="I249" s="286"/>
      <c r="J249" s="146">
        <f>(E249+H249)*0.1</f>
        <v>503.58500000000004</v>
      </c>
      <c r="K249" s="146">
        <f>(E249*C249+H249)*30%</f>
        <v>1510.755</v>
      </c>
      <c r="L249" s="116">
        <f>(E249*C249)+F249+G249+H249+J249+K249+0.01</f>
        <v>7050.200000000001</v>
      </c>
      <c r="M249" s="68"/>
    </row>
    <row r="250" spans="1:13" s="55" customFormat="1" ht="19.5" thickBot="1">
      <c r="A250" s="125"/>
      <c r="B250" s="199" t="s">
        <v>18</v>
      </c>
      <c r="C250" s="147">
        <v>1</v>
      </c>
      <c r="D250" s="147">
        <v>8</v>
      </c>
      <c r="E250" s="146">
        <v>4379</v>
      </c>
      <c r="F250" s="147"/>
      <c r="G250" s="152"/>
      <c r="H250" s="285">
        <f>(E250*C250)*0.15</f>
        <v>656.85</v>
      </c>
      <c r="I250" s="286"/>
      <c r="J250" s="146">
        <f>((E250*C250)+H250)*0.1</f>
        <v>503.58500000000004</v>
      </c>
      <c r="K250" s="146">
        <f>((E250*C250)+H250)*0.3</f>
        <v>1510.755</v>
      </c>
      <c r="L250" s="116">
        <f>(E250*C250)+F250+G250+H250+J250+K250+0.01</f>
        <v>7050.200000000001</v>
      </c>
      <c r="M250" s="68"/>
    </row>
    <row r="251" spans="1:13" s="55" customFormat="1" ht="19.5" thickBot="1">
      <c r="A251" s="125"/>
      <c r="B251" s="199" t="s">
        <v>18</v>
      </c>
      <c r="C251" s="147">
        <v>2</v>
      </c>
      <c r="D251" s="147">
        <v>8</v>
      </c>
      <c r="E251" s="146">
        <v>4379</v>
      </c>
      <c r="F251" s="147"/>
      <c r="G251" s="152"/>
      <c r="H251" s="285">
        <f>E251*0.15*2</f>
        <v>1313.7</v>
      </c>
      <c r="I251" s="286"/>
      <c r="J251" s="146">
        <f>(E251*2+H251)*0.1+0.01</f>
        <v>1007.1800000000001</v>
      </c>
      <c r="K251" s="146">
        <f>(E251*2+H251)*0.2</f>
        <v>2014.3400000000001</v>
      </c>
      <c r="L251" s="116">
        <f>(E251*C251)+F251+G251+H251+J251+K251</f>
        <v>13093.220000000001</v>
      </c>
      <c r="M251" s="68"/>
    </row>
    <row r="252" spans="1:13" s="55" customFormat="1" ht="19.5" thickBot="1">
      <c r="A252" s="125"/>
      <c r="B252" s="199" t="s">
        <v>18</v>
      </c>
      <c r="C252" s="147">
        <v>1</v>
      </c>
      <c r="D252" s="147">
        <v>8</v>
      </c>
      <c r="E252" s="146">
        <v>4379</v>
      </c>
      <c r="F252" s="147"/>
      <c r="G252" s="152"/>
      <c r="H252" s="285">
        <f>E252*0.15</f>
        <v>656.85</v>
      </c>
      <c r="I252" s="286"/>
      <c r="J252" s="146">
        <f>(E252+H252)*0.1</f>
        <v>503.58500000000004</v>
      </c>
      <c r="K252" s="146">
        <f>(E252+H252)*0.2</f>
        <v>1007.1700000000001</v>
      </c>
      <c r="L252" s="116">
        <f>E252+H252+J252+K252</f>
        <v>6546.6050000000005</v>
      </c>
      <c r="M252" s="68"/>
    </row>
    <row r="253" spans="1:13" s="55" customFormat="1" ht="19.5" thickBot="1">
      <c r="A253" s="125"/>
      <c r="B253" s="199" t="s">
        <v>18</v>
      </c>
      <c r="C253" s="147">
        <v>1</v>
      </c>
      <c r="D253" s="147">
        <v>8</v>
      </c>
      <c r="E253" s="146">
        <v>4379</v>
      </c>
      <c r="F253" s="147"/>
      <c r="G253" s="152"/>
      <c r="H253" s="285">
        <f>E253*0.15</f>
        <v>656.85</v>
      </c>
      <c r="I253" s="286"/>
      <c r="J253" s="146">
        <f>(E253+H253)*0.1</f>
        <v>503.58500000000004</v>
      </c>
      <c r="K253" s="146">
        <f>(E253+H253)*0.3</f>
        <v>1510.755</v>
      </c>
      <c r="L253" s="116">
        <f>E253+H253+J253+K253+0.01</f>
        <v>7050.200000000001</v>
      </c>
      <c r="M253" s="68"/>
    </row>
    <row r="254" spans="1:13" s="55" customFormat="1" ht="57" thickBot="1">
      <c r="A254" s="125"/>
      <c r="B254" s="153" t="s">
        <v>185</v>
      </c>
      <c r="C254" s="147">
        <v>5</v>
      </c>
      <c r="D254" s="147">
        <v>4</v>
      </c>
      <c r="E254" s="146">
        <v>3391</v>
      </c>
      <c r="F254" s="147"/>
      <c r="G254" s="152"/>
      <c r="H254" s="285">
        <f>(E254*C254)*0.15</f>
        <v>2543.25</v>
      </c>
      <c r="I254" s="286"/>
      <c r="J254" s="146">
        <f>((E254*C254)+H254)*0.1</f>
        <v>1949.825</v>
      </c>
      <c r="K254" s="147"/>
      <c r="L254" s="116">
        <f>(E254*C254)+F254+G254+H254+J254+K254</f>
        <v>21448.075</v>
      </c>
      <c r="M254" s="56"/>
    </row>
    <row r="255" spans="1:12" ht="15.75" customHeight="1">
      <c r="A255" s="111"/>
      <c r="B255" s="298" t="s">
        <v>15</v>
      </c>
      <c r="C255" s="323">
        <f>C248+C249+C250+C251+C252+C253+C254</f>
        <v>12</v>
      </c>
      <c r="D255" s="298" t="s">
        <v>22</v>
      </c>
      <c r="E255" s="292">
        <f>E248+E249+E250+E252+E253</f>
        <v>22776</v>
      </c>
      <c r="F255" s="298"/>
      <c r="G255" s="324"/>
      <c r="H255" s="299">
        <f>H248+H249+H250+H251+H252+H254</f>
        <v>6616.5</v>
      </c>
      <c r="I255" s="330"/>
      <c r="J255" s="292">
        <f>J248+J249+J250+J251+J252+J254</f>
        <v>4467.76</v>
      </c>
      <c r="K255" s="292">
        <f>SUM(K248:K254)</f>
        <v>9368.475</v>
      </c>
      <c r="L255" s="292">
        <f>SUM(L248:L254)</f>
        <v>70102.20000000001</v>
      </c>
    </row>
    <row r="256" spans="1:12" ht="18.75">
      <c r="A256" s="111"/>
      <c r="B256" s="296"/>
      <c r="C256" s="321"/>
      <c r="D256" s="296"/>
      <c r="E256" s="283"/>
      <c r="F256" s="296"/>
      <c r="G256" s="325"/>
      <c r="H256" s="238" t="s">
        <v>59</v>
      </c>
      <c r="I256" s="227">
        <f>C248</f>
        <v>1</v>
      </c>
      <c r="J256" s="296"/>
      <c r="K256" s="283"/>
      <c r="L256" s="283"/>
    </row>
    <row r="257" spans="1:13" ht="37.5">
      <c r="A257" s="111"/>
      <c r="B257" s="296"/>
      <c r="C257" s="321"/>
      <c r="D257" s="296"/>
      <c r="E257" s="283"/>
      <c r="F257" s="296"/>
      <c r="G257" s="325"/>
      <c r="H257" s="238" t="s">
        <v>60</v>
      </c>
      <c r="I257" s="227">
        <f>C249+C250+C251+C252+C253</f>
        <v>6</v>
      </c>
      <c r="J257" s="296"/>
      <c r="K257" s="283"/>
      <c r="L257" s="283"/>
      <c r="M257" s="6"/>
    </row>
    <row r="258" spans="1:12" ht="18" customHeight="1" thickBot="1">
      <c r="A258" s="111"/>
      <c r="B258" s="297"/>
      <c r="C258" s="322"/>
      <c r="D258" s="297"/>
      <c r="E258" s="284"/>
      <c r="F258" s="297"/>
      <c r="G258" s="326"/>
      <c r="H258" s="168" t="s">
        <v>62</v>
      </c>
      <c r="I258" s="161">
        <f>C254</f>
        <v>5</v>
      </c>
      <c r="J258" s="297"/>
      <c r="K258" s="284"/>
      <c r="L258" s="284"/>
    </row>
    <row r="259" spans="1:12" ht="19.5" thickBot="1">
      <c r="A259" s="111"/>
      <c r="B259" s="169"/>
      <c r="C259" s="169"/>
      <c r="D259" s="169"/>
      <c r="E259" s="169"/>
      <c r="F259" s="169"/>
      <c r="G259" s="169"/>
      <c r="H259" s="169"/>
      <c r="I259" s="169"/>
      <c r="J259" s="169"/>
      <c r="K259" s="169"/>
      <c r="L259" s="169"/>
    </row>
    <row r="260" spans="1:12" ht="16.5" customHeight="1" thickBot="1">
      <c r="A260" s="111"/>
      <c r="B260" s="327" t="s">
        <v>208</v>
      </c>
      <c r="C260" s="328"/>
      <c r="D260" s="328"/>
      <c r="E260" s="328"/>
      <c r="F260" s="328"/>
      <c r="G260" s="328"/>
      <c r="H260" s="328"/>
      <c r="I260" s="328"/>
      <c r="J260" s="328"/>
      <c r="K260" s="328"/>
      <c r="L260" s="329"/>
    </row>
    <row r="261" spans="1:13" s="55" customFormat="1" ht="37.5" customHeight="1" thickBot="1">
      <c r="A261" s="125"/>
      <c r="B261" s="153" t="s">
        <v>125</v>
      </c>
      <c r="C261" s="147">
        <v>1</v>
      </c>
      <c r="D261" s="147">
        <v>13</v>
      </c>
      <c r="E261" s="146">
        <v>6061</v>
      </c>
      <c r="F261" s="146">
        <f>E261*0.25</f>
        <v>1515.25</v>
      </c>
      <c r="G261" s="147"/>
      <c r="H261" s="310"/>
      <c r="I261" s="311"/>
      <c r="J261" s="145"/>
      <c r="K261" s="147">
        <f>(E261+F261)*0.3</f>
        <v>2272.875</v>
      </c>
      <c r="L261" s="146">
        <f>(E261*C261)+F261+G261+I261+J261+K261</f>
        <v>9849.125</v>
      </c>
      <c r="M261" s="68"/>
    </row>
    <row r="262" spans="1:13" s="55" customFormat="1" ht="19.5" thickBot="1">
      <c r="A262" s="125"/>
      <c r="B262" s="153" t="s">
        <v>27</v>
      </c>
      <c r="C262" s="147">
        <v>0.5</v>
      </c>
      <c r="D262" s="147">
        <v>10</v>
      </c>
      <c r="E262" s="146">
        <v>4859</v>
      </c>
      <c r="F262" s="147"/>
      <c r="G262" s="147"/>
      <c r="H262" s="310"/>
      <c r="I262" s="311"/>
      <c r="J262" s="145"/>
      <c r="K262" s="146">
        <f>((E262*C262)+F262)*0.3</f>
        <v>728.85</v>
      </c>
      <c r="L262" s="146">
        <f>(E262*C262)+F262+G262+I262+J262+K262</f>
        <v>3158.35</v>
      </c>
      <c r="M262" s="68"/>
    </row>
    <row r="263" spans="1:13" s="55" customFormat="1" ht="19.5" thickBot="1">
      <c r="A263" s="125"/>
      <c r="B263" s="153" t="s">
        <v>27</v>
      </c>
      <c r="C263" s="147">
        <v>0.25</v>
      </c>
      <c r="D263" s="147">
        <v>10</v>
      </c>
      <c r="E263" s="146">
        <v>4859</v>
      </c>
      <c r="F263" s="147"/>
      <c r="G263" s="147"/>
      <c r="H263" s="117"/>
      <c r="I263" s="110"/>
      <c r="J263" s="175"/>
      <c r="K263" s="146"/>
      <c r="L263" s="146">
        <f>(E263*C263)+F263+G263+I263+J263+K263</f>
        <v>1214.75</v>
      </c>
      <c r="M263" s="57"/>
    </row>
    <row r="264" spans="1:12" s="55" customFormat="1" ht="19.5" thickBot="1">
      <c r="A264" s="125"/>
      <c r="B264" s="153" t="s">
        <v>27</v>
      </c>
      <c r="C264" s="175">
        <v>0.25</v>
      </c>
      <c r="D264" s="175">
        <v>10</v>
      </c>
      <c r="E264" s="146">
        <v>4859</v>
      </c>
      <c r="F264" s="175"/>
      <c r="G264" s="175"/>
      <c r="H264" s="310"/>
      <c r="I264" s="311"/>
      <c r="J264" s="175"/>
      <c r="K264" s="147"/>
      <c r="L264" s="146">
        <f>(E264*C264)+F264+G264+I264+J264+K264</f>
        <v>1214.75</v>
      </c>
    </row>
    <row r="265" spans="1:13" s="55" customFormat="1" ht="19.5" thickBot="1">
      <c r="A265" s="125"/>
      <c r="B265" s="153" t="s">
        <v>122</v>
      </c>
      <c r="C265" s="147">
        <v>0.75</v>
      </c>
      <c r="D265" s="147">
        <v>13</v>
      </c>
      <c r="E265" s="146">
        <v>6061</v>
      </c>
      <c r="F265" s="146"/>
      <c r="G265" s="147"/>
      <c r="H265" s="117"/>
      <c r="I265" s="110"/>
      <c r="J265" s="145"/>
      <c r="K265" s="146">
        <f>(E265*0.75)*30%</f>
        <v>1363.725</v>
      </c>
      <c r="L265" s="146">
        <f>(E265*0.75)+K265</f>
        <v>5909.475</v>
      </c>
      <c r="M265" s="68"/>
    </row>
    <row r="266" spans="1:13" s="55" customFormat="1" ht="19.5" thickBot="1">
      <c r="A266" s="125"/>
      <c r="B266" s="153" t="s">
        <v>23</v>
      </c>
      <c r="C266" s="147">
        <v>0.5</v>
      </c>
      <c r="D266" s="147">
        <v>13</v>
      </c>
      <c r="E266" s="146">
        <v>6061</v>
      </c>
      <c r="F266" s="146"/>
      <c r="G266" s="147"/>
      <c r="H266" s="117"/>
      <c r="I266" s="110"/>
      <c r="J266" s="145"/>
      <c r="K266" s="146">
        <f>(E266*C266)*30%</f>
        <v>909.15</v>
      </c>
      <c r="L266" s="146">
        <f>(E266*C266)+K266</f>
        <v>3939.65</v>
      </c>
      <c r="M266" s="68"/>
    </row>
    <row r="267" spans="1:13" s="55" customFormat="1" ht="19.5" thickBot="1">
      <c r="A267" s="125"/>
      <c r="B267" s="153" t="s">
        <v>23</v>
      </c>
      <c r="C267" s="147">
        <v>0.5</v>
      </c>
      <c r="D267" s="147">
        <v>13</v>
      </c>
      <c r="E267" s="146">
        <v>6061</v>
      </c>
      <c r="F267" s="146"/>
      <c r="G267" s="147"/>
      <c r="H267" s="117"/>
      <c r="I267" s="110"/>
      <c r="J267" s="145"/>
      <c r="K267" s="146">
        <f>(E267*C267)*30%</f>
        <v>909.15</v>
      </c>
      <c r="L267" s="146">
        <f>(E267*C267)+K267</f>
        <v>3939.65</v>
      </c>
      <c r="M267" s="68"/>
    </row>
    <row r="268" spans="1:13" s="55" customFormat="1" ht="23.25" customHeight="1" hidden="1" thickBot="1">
      <c r="A268" s="125"/>
      <c r="B268" s="153"/>
      <c r="C268" s="147"/>
      <c r="D268" s="147"/>
      <c r="E268" s="146"/>
      <c r="F268" s="146"/>
      <c r="G268" s="147"/>
      <c r="H268" s="117"/>
      <c r="I268" s="110"/>
      <c r="J268" s="145"/>
      <c r="K268" s="146"/>
      <c r="L268" s="146"/>
      <c r="M268" s="57"/>
    </row>
    <row r="269" spans="1:13" s="55" customFormat="1" ht="19.5" thickBot="1">
      <c r="A269" s="125"/>
      <c r="B269" s="153" t="s">
        <v>16</v>
      </c>
      <c r="C269" s="147">
        <v>0.5</v>
      </c>
      <c r="D269" s="147">
        <v>12</v>
      </c>
      <c r="E269" s="146">
        <v>5660</v>
      </c>
      <c r="F269" s="147"/>
      <c r="G269" s="147"/>
      <c r="H269" s="310"/>
      <c r="I269" s="311"/>
      <c r="J269" s="145"/>
      <c r="K269" s="146">
        <f>(C269*E269)*0.3</f>
        <v>849</v>
      </c>
      <c r="L269" s="146">
        <f>(E269*C269)+F269+G269+I269+J269+K269</f>
        <v>3679</v>
      </c>
      <c r="M269" s="68"/>
    </row>
    <row r="270" spans="1:13" s="55" customFormat="1" ht="19.5" thickBot="1">
      <c r="A270" s="125"/>
      <c r="B270" s="153" t="s">
        <v>218</v>
      </c>
      <c r="C270" s="147">
        <v>1</v>
      </c>
      <c r="D270" s="147">
        <v>10</v>
      </c>
      <c r="E270" s="146">
        <v>4859</v>
      </c>
      <c r="F270" s="147"/>
      <c r="G270" s="147"/>
      <c r="H270" s="117"/>
      <c r="I270" s="110"/>
      <c r="J270" s="145"/>
      <c r="K270" s="146">
        <f>(C270*E270)*0.2</f>
        <v>971.8000000000001</v>
      </c>
      <c r="L270" s="146">
        <f>(E270*C270)+F270+G270+I270+J270+K270</f>
        <v>5830.8</v>
      </c>
      <c r="M270" s="68"/>
    </row>
    <row r="271" spans="1:13" s="55" customFormat="1" ht="38.25" thickBot="1">
      <c r="A271" s="125"/>
      <c r="B271" s="153" t="s">
        <v>169</v>
      </c>
      <c r="C271" s="147">
        <v>1</v>
      </c>
      <c r="D271" s="147">
        <v>8</v>
      </c>
      <c r="E271" s="146">
        <v>4379</v>
      </c>
      <c r="F271" s="146">
        <f>E271*10%</f>
        <v>437.90000000000003</v>
      </c>
      <c r="G271" s="147"/>
      <c r="H271" s="117"/>
      <c r="I271" s="110"/>
      <c r="J271" s="145"/>
      <c r="K271" s="146">
        <f>(E271+F271)*20%</f>
        <v>963.38</v>
      </c>
      <c r="L271" s="146">
        <f>E271+F271+K271</f>
        <v>5780.28</v>
      </c>
      <c r="M271" s="68"/>
    </row>
    <row r="272" spans="1:13" s="55" customFormat="1" ht="57" thickBot="1">
      <c r="A272" s="125"/>
      <c r="B272" s="153" t="s">
        <v>170</v>
      </c>
      <c r="C272" s="147">
        <v>1</v>
      </c>
      <c r="D272" s="147">
        <v>6</v>
      </c>
      <c r="E272" s="146">
        <v>3872</v>
      </c>
      <c r="F272" s="147"/>
      <c r="G272" s="147"/>
      <c r="H272" s="117"/>
      <c r="I272" s="110"/>
      <c r="J272" s="159">
        <f>(E272*C272)*10%</f>
        <v>387.20000000000005</v>
      </c>
      <c r="K272" s="146">
        <f>E272*20%</f>
        <v>774.4000000000001</v>
      </c>
      <c r="L272" s="146">
        <f>(E272*C272)+J272+K272</f>
        <v>5033.6</v>
      </c>
      <c r="M272" s="68"/>
    </row>
    <row r="273" spans="1:13" s="55" customFormat="1" ht="38.25" thickBot="1">
      <c r="A273" s="125"/>
      <c r="B273" s="153" t="s">
        <v>159</v>
      </c>
      <c r="C273" s="147">
        <v>1</v>
      </c>
      <c r="D273" s="147">
        <v>7</v>
      </c>
      <c r="E273" s="146">
        <v>4112</v>
      </c>
      <c r="F273" s="147"/>
      <c r="G273" s="147"/>
      <c r="H273" s="310"/>
      <c r="I273" s="311"/>
      <c r="J273" s="145"/>
      <c r="K273" s="146">
        <f>((E273*C273)+F273)*0.3</f>
        <v>1233.6</v>
      </c>
      <c r="L273" s="146">
        <f>(E273*C273)+F273+G273+I273+J273+K273</f>
        <v>5345.6</v>
      </c>
      <c r="M273" s="68"/>
    </row>
    <row r="274" spans="1:13" s="55" customFormat="1" ht="16.5" customHeight="1" thickBot="1">
      <c r="A274" s="125"/>
      <c r="B274" s="153" t="s">
        <v>18</v>
      </c>
      <c r="C274" s="147">
        <v>2</v>
      </c>
      <c r="D274" s="147">
        <v>8</v>
      </c>
      <c r="E274" s="146">
        <v>4379</v>
      </c>
      <c r="F274" s="147"/>
      <c r="G274" s="147"/>
      <c r="H274" s="117"/>
      <c r="I274" s="110"/>
      <c r="J274" s="145"/>
      <c r="K274" s="146">
        <f>((E274*C274)+F274)*0.3</f>
        <v>2627.4</v>
      </c>
      <c r="L274" s="146">
        <f>(E274*C274)+F274+G274+I274+J274+K274</f>
        <v>11385.4</v>
      </c>
      <c r="M274" s="68"/>
    </row>
    <row r="275" spans="1:14" s="55" customFormat="1" ht="19.5" thickBot="1">
      <c r="A275" s="125"/>
      <c r="B275" s="153" t="s">
        <v>18</v>
      </c>
      <c r="C275" s="147">
        <v>2</v>
      </c>
      <c r="D275" s="147">
        <v>8</v>
      </c>
      <c r="E275" s="146">
        <v>4379</v>
      </c>
      <c r="F275" s="147"/>
      <c r="G275" s="147"/>
      <c r="H275" s="310"/>
      <c r="I275" s="311"/>
      <c r="J275" s="145"/>
      <c r="K275" s="146">
        <f>((E275*C275)+F275)*0.2</f>
        <v>1751.6000000000001</v>
      </c>
      <c r="L275" s="146">
        <f>(E275*C275)+F275+G275+I275+J275+K275</f>
        <v>10509.6</v>
      </c>
      <c r="M275" s="68"/>
      <c r="N275" s="57"/>
    </row>
    <row r="276" spans="1:13" s="55" customFormat="1" ht="19.5" thickBot="1">
      <c r="A276" s="125"/>
      <c r="B276" s="153" t="s">
        <v>18</v>
      </c>
      <c r="C276" s="147">
        <v>1</v>
      </c>
      <c r="D276" s="147">
        <v>8</v>
      </c>
      <c r="E276" s="146">
        <v>4379</v>
      </c>
      <c r="F276" s="147"/>
      <c r="G276" s="147"/>
      <c r="H276" s="117"/>
      <c r="I276" s="110"/>
      <c r="J276" s="145"/>
      <c r="K276" s="146">
        <f>(E276+F276)*0.3</f>
        <v>1313.7</v>
      </c>
      <c r="L276" s="146">
        <f>(E276*C276)+F276+G276+I276+J276+K276</f>
        <v>5692.7</v>
      </c>
      <c r="M276" s="68"/>
    </row>
    <row r="277" spans="1:13" s="55" customFormat="1" ht="19.5" thickBot="1">
      <c r="A277" s="125"/>
      <c r="B277" s="153" t="s">
        <v>18</v>
      </c>
      <c r="C277" s="147">
        <v>1</v>
      </c>
      <c r="D277" s="147">
        <v>8</v>
      </c>
      <c r="E277" s="146">
        <v>4379</v>
      </c>
      <c r="F277" s="147"/>
      <c r="G277" s="147"/>
      <c r="H277" s="117"/>
      <c r="I277" s="110"/>
      <c r="J277" s="145"/>
      <c r="K277" s="146">
        <f>(E277+F277)*0.3</f>
        <v>1313.7</v>
      </c>
      <c r="L277" s="146">
        <f>E277+K277</f>
        <v>5692.7</v>
      </c>
      <c r="M277" s="68"/>
    </row>
    <row r="278" spans="1:13" s="55" customFormat="1" ht="19.5" thickBot="1">
      <c r="A278" s="125"/>
      <c r="B278" s="153" t="s">
        <v>18</v>
      </c>
      <c r="C278" s="147">
        <v>1</v>
      </c>
      <c r="D278" s="147">
        <v>8</v>
      </c>
      <c r="E278" s="146">
        <v>4379</v>
      </c>
      <c r="F278" s="147"/>
      <c r="G278" s="147"/>
      <c r="H278" s="117"/>
      <c r="I278" s="110"/>
      <c r="J278" s="145"/>
      <c r="K278" s="146">
        <f>E278*20%</f>
        <v>875.8000000000001</v>
      </c>
      <c r="L278" s="146">
        <f>E278+K278</f>
        <v>5254.8</v>
      </c>
      <c r="M278" s="68"/>
    </row>
    <row r="279" spans="1:12" s="55" customFormat="1" ht="19.5" thickBot="1">
      <c r="A279" s="125"/>
      <c r="B279" s="153" t="s">
        <v>18</v>
      </c>
      <c r="C279" s="147">
        <v>1</v>
      </c>
      <c r="D279" s="147">
        <v>6</v>
      </c>
      <c r="E279" s="146">
        <v>3872</v>
      </c>
      <c r="F279" s="147"/>
      <c r="G279" s="147"/>
      <c r="H279" s="310"/>
      <c r="I279" s="311"/>
      <c r="J279" s="145"/>
      <c r="K279" s="146">
        <f>E279*20%</f>
        <v>774.4000000000001</v>
      </c>
      <c r="L279" s="146">
        <f aca="true" t="shared" si="3" ref="L279:L285">(E279*C279)+F279+G279+I279+J279+K279</f>
        <v>4646.4</v>
      </c>
    </row>
    <row r="280" spans="1:12" s="55" customFormat="1" ht="19.5" thickBot="1">
      <c r="A280" s="125"/>
      <c r="B280" s="153" t="s">
        <v>18</v>
      </c>
      <c r="C280" s="147">
        <v>1</v>
      </c>
      <c r="D280" s="147">
        <v>6</v>
      </c>
      <c r="E280" s="146">
        <v>3872</v>
      </c>
      <c r="F280" s="147"/>
      <c r="G280" s="147"/>
      <c r="H280" s="310"/>
      <c r="I280" s="311"/>
      <c r="J280" s="145"/>
      <c r="K280" s="146">
        <f>((E280*C280)+F280)*0.1</f>
        <v>387.20000000000005</v>
      </c>
      <c r="L280" s="146">
        <f t="shared" si="3"/>
        <v>4259.2</v>
      </c>
    </row>
    <row r="281" spans="1:13" s="55" customFormat="1" ht="38.25" thickBot="1">
      <c r="A281" s="125"/>
      <c r="B281" s="153" t="s">
        <v>159</v>
      </c>
      <c r="C281" s="147">
        <v>1</v>
      </c>
      <c r="D281" s="147">
        <v>6</v>
      </c>
      <c r="E281" s="146">
        <v>3872</v>
      </c>
      <c r="F281" s="147"/>
      <c r="G281" s="147"/>
      <c r="H281" s="310"/>
      <c r="I281" s="311"/>
      <c r="J281" s="145"/>
      <c r="K281" s="146"/>
      <c r="L281" s="146">
        <f t="shared" si="3"/>
        <v>3872</v>
      </c>
      <c r="M281" s="68"/>
    </row>
    <row r="282" spans="1:13" s="55" customFormat="1" ht="19.5" thickBot="1">
      <c r="A282" s="125"/>
      <c r="B282" s="153" t="s">
        <v>18</v>
      </c>
      <c r="C282" s="147">
        <v>1</v>
      </c>
      <c r="D282" s="147">
        <v>8</v>
      </c>
      <c r="E282" s="146">
        <v>4379</v>
      </c>
      <c r="F282" s="147"/>
      <c r="G282" s="147"/>
      <c r="H282" s="310"/>
      <c r="I282" s="311"/>
      <c r="J282" s="145"/>
      <c r="K282" s="146">
        <f>(E282*C282)*0.3</f>
        <v>1313.7</v>
      </c>
      <c r="L282" s="146">
        <f t="shared" si="3"/>
        <v>5692.7</v>
      </c>
      <c r="M282" s="68"/>
    </row>
    <row r="283" spans="1:13" s="55" customFormat="1" ht="19.5" thickBot="1">
      <c r="A283" s="125"/>
      <c r="B283" s="153" t="s">
        <v>18</v>
      </c>
      <c r="C283" s="147">
        <v>1</v>
      </c>
      <c r="D283" s="147">
        <v>8</v>
      </c>
      <c r="E283" s="146">
        <v>4379</v>
      </c>
      <c r="F283" s="147"/>
      <c r="G283" s="147"/>
      <c r="H283" s="117"/>
      <c r="I283" s="110"/>
      <c r="J283" s="145"/>
      <c r="K283" s="146">
        <f>E283*0.3</f>
        <v>1313.7</v>
      </c>
      <c r="L283" s="146">
        <f t="shared" si="3"/>
        <v>5692.7</v>
      </c>
      <c r="M283" s="68"/>
    </row>
    <row r="284" spans="1:14" s="55" customFormat="1" ht="19.5" thickBot="1">
      <c r="A284" s="125"/>
      <c r="B284" s="153" t="s">
        <v>18</v>
      </c>
      <c r="C284" s="147">
        <v>0.75</v>
      </c>
      <c r="D284" s="147">
        <v>6</v>
      </c>
      <c r="E284" s="146">
        <v>3872</v>
      </c>
      <c r="F284" s="147"/>
      <c r="G284" s="147"/>
      <c r="H284" s="310"/>
      <c r="I284" s="311"/>
      <c r="J284" s="145"/>
      <c r="K284" s="146">
        <f>(E284*C284)*0.1</f>
        <v>290.40000000000003</v>
      </c>
      <c r="L284" s="146">
        <f t="shared" si="3"/>
        <v>3194.4</v>
      </c>
      <c r="M284" s="68"/>
      <c r="N284" s="63"/>
    </row>
    <row r="285" spans="1:13" s="55" customFormat="1" ht="54.75" customHeight="1" thickBot="1">
      <c r="A285" s="125"/>
      <c r="B285" s="153" t="s">
        <v>185</v>
      </c>
      <c r="C285" s="110">
        <v>9</v>
      </c>
      <c r="D285" s="110">
        <v>4</v>
      </c>
      <c r="E285" s="116">
        <v>3391</v>
      </c>
      <c r="F285" s="110"/>
      <c r="G285" s="110"/>
      <c r="H285" s="310"/>
      <c r="I285" s="311"/>
      <c r="J285" s="159">
        <f>(E285*C285)*0.1</f>
        <v>3051.9</v>
      </c>
      <c r="K285" s="110"/>
      <c r="L285" s="116">
        <f t="shared" si="3"/>
        <v>33570.9</v>
      </c>
      <c r="M285" s="56"/>
    </row>
    <row r="286" spans="1:12" s="55" customFormat="1" ht="75.75" thickBot="1">
      <c r="A286" s="125"/>
      <c r="B286" s="239" t="s">
        <v>186</v>
      </c>
      <c r="C286" s="145">
        <v>1</v>
      </c>
      <c r="D286" s="145">
        <v>3</v>
      </c>
      <c r="E286" s="151">
        <v>3151</v>
      </c>
      <c r="F286" s="145"/>
      <c r="G286" s="240"/>
      <c r="H286" s="198"/>
      <c r="I286" s="157"/>
      <c r="J286" s="172">
        <f>C286*E286*10%</f>
        <v>315.1</v>
      </c>
      <c r="K286" s="145"/>
      <c r="L286" s="241">
        <f>C286*E286+J286</f>
        <v>3466.1</v>
      </c>
    </row>
    <row r="287" spans="1:12" ht="18.75">
      <c r="A287" s="111"/>
      <c r="B287" s="296" t="s">
        <v>15</v>
      </c>
      <c r="C287" s="321">
        <f>C261+C262+C263+C264+C265+C266+C267+C268+C269+C270+C271+C272+C273+C274+C275+C276+C277+C278+C279+C280+C281+C282+C283+C284+C285+C286</f>
        <v>31</v>
      </c>
      <c r="D287" s="296"/>
      <c r="E287" s="283"/>
      <c r="F287" s="283">
        <f>F261+F271</f>
        <v>1953.15</v>
      </c>
      <c r="G287" s="325"/>
      <c r="H287" s="233" t="s">
        <v>59</v>
      </c>
      <c r="I287" s="234">
        <f>C261+C262+C263+C264+C265+C266+C267+C268+C269+C270</f>
        <v>5.25</v>
      </c>
      <c r="J287" s="292">
        <f>J272+J285+J286</f>
        <v>3754.2000000000003</v>
      </c>
      <c r="K287" s="283">
        <f>K261+K262+K263+K264+K265+K266+K267+K268+K269+K270+K271+K272+K273+K274+K275+K276+K277+K278+K279+K280+K281+K282+K283+K284</f>
        <v>22937.530000000002</v>
      </c>
      <c r="L287" s="283">
        <f>L261+L262+L263+L264+L265+L266+L267+L268+L269+L270+L271+L272+L273+L274+L275+L276+L277+L278+L279+L280+L281+L282+L283+L284+L285+L286</f>
        <v>157824.62999999998</v>
      </c>
    </row>
    <row r="288" spans="1:12" ht="18.75">
      <c r="A288" s="111"/>
      <c r="B288" s="296"/>
      <c r="C288" s="321"/>
      <c r="D288" s="296"/>
      <c r="E288" s="296"/>
      <c r="F288" s="283"/>
      <c r="G288" s="325"/>
      <c r="H288" s="194"/>
      <c r="I288" s="227"/>
      <c r="J288" s="283"/>
      <c r="K288" s="283"/>
      <c r="L288" s="283"/>
    </row>
    <row r="289" spans="1:13" ht="37.5">
      <c r="A289" s="111"/>
      <c r="B289" s="296"/>
      <c r="C289" s="321"/>
      <c r="D289" s="296"/>
      <c r="E289" s="296"/>
      <c r="F289" s="283"/>
      <c r="G289" s="325"/>
      <c r="H289" s="194" t="s">
        <v>63</v>
      </c>
      <c r="I289" s="235">
        <f>C271+C272+C273+C274+C275+C276+C277+C278+C279+C280+C281+C282+C283+C284</f>
        <v>15.75</v>
      </c>
      <c r="J289" s="283"/>
      <c r="K289" s="283"/>
      <c r="L289" s="283"/>
      <c r="M289" s="6"/>
    </row>
    <row r="290" spans="1:12" ht="27.75" customHeight="1" thickBot="1">
      <c r="A290" s="111"/>
      <c r="B290" s="297"/>
      <c r="C290" s="322"/>
      <c r="D290" s="297"/>
      <c r="E290" s="297"/>
      <c r="F290" s="284"/>
      <c r="G290" s="326"/>
      <c r="H290" s="177" t="s">
        <v>61</v>
      </c>
      <c r="I290" s="161">
        <f>C285+C286</f>
        <v>10</v>
      </c>
      <c r="J290" s="284"/>
      <c r="K290" s="284"/>
      <c r="L290" s="284"/>
    </row>
    <row r="291" spans="1:12" ht="16.5" customHeight="1" thickBot="1">
      <c r="A291" s="111"/>
      <c r="B291" s="242"/>
      <c r="C291" s="242"/>
      <c r="D291" s="242"/>
      <c r="E291" s="242"/>
      <c r="F291" s="243"/>
      <c r="G291" s="242"/>
      <c r="H291" s="320"/>
      <c r="I291" s="320"/>
      <c r="J291" s="243"/>
      <c r="K291" s="243"/>
      <c r="L291" s="243"/>
    </row>
    <row r="292" spans="1:12" ht="33.75" customHeight="1" thickBot="1">
      <c r="A292" s="111"/>
      <c r="B292" s="306" t="s">
        <v>209</v>
      </c>
      <c r="C292" s="307"/>
      <c r="D292" s="307"/>
      <c r="E292" s="307"/>
      <c r="F292" s="307"/>
      <c r="G292" s="307"/>
      <c r="H292" s="307"/>
      <c r="I292" s="307"/>
      <c r="J292" s="307"/>
      <c r="K292" s="307"/>
      <c r="L292" s="308"/>
    </row>
    <row r="293" spans="1:13" s="55" customFormat="1" ht="18.75" customHeight="1" thickBot="1">
      <c r="A293" s="125"/>
      <c r="B293" s="153" t="s">
        <v>160</v>
      </c>
      <c r="C293" s="147">
        <v>1</v>
      </c>
      <c r="D293" s="147">
        <v>14</v>
      </c>
      <c r="E293" s="146">
        <v>6461</v>
      </c>
      <c r="F293" s="146">
        <f>E293*0.2</f>
        <v>1292.2</v>
      </c>
      <c r="G293" s="146">
        <f>(E293+F293)*30%</f>
        <v>2325.96</v>
      </c>
      <c r="H293" s="285"/>
      <c r="I293" s="286"/>
      <c r="J293" s="146"/>
      <c r="K293" s="146">
        <f>(E293+F293+G293)*0.2</f>
        <v>2015.832</v>
      </c>
      <c r="L293" s="146">
        <f>(E293*C293)+F293+G293+H293+J293+K293+K294</f>
        <v>15118.74</v>
      </c>
      <c r="M293" s="68"/>
    </row>
    <row r="294" spans="1:12" s="55" customFormat="1" ht="18.75" customHeight="1" thickBot="1">
      <c r="A294" s="125"/>
      <c r="B294" s="153"/>
      <c r="C294" s="147"/>
      <c r="D294" s="147"/>
      <c r="E294" s="146"/>
      <c r="F294" s="146"/>
      <c r="G294" s="146"/>
      <c r="H294" s="115"/>
      <c r="I294" s="116"/>
      <c r="J294" s="146"/>
      <c r="K294" s="146">
        <f>(E293+F293+G293)*0.3</f>
        <v>3023.748</v>
      </c>
      <c r="L294" s="146"/>
    </row>
    <row r="295" spans="1:13" s="55" customFormat="1" ht="18" customHeight="1" thickBot="1">
      <c r="A295" s="125"/>
      <c r="B295" s="153" t="s">
        <v>24</v>
      </c>
      <c r="C295" s="147">
        <v>1</v>
      </c>
      <c r="D295" s="147">
        <v>13</v>
      </c>
      <c r="E295" s="146">
        <v>6061</v>
      </c>
      <c r="F295" s="146"/>
      <c r="G295" s="146">
        <f>(E295+F295)*0.25</f>
        <v>1515.25</v>
      </c>
      <c r="H295" s="285"/>
      <c r="I295" s="286"/>
      <c r="J295" s="146"/>
      <c r="K295" s="146">
        <f>(E295+F295+G295)*0.3</f>
        <v>2272.875</v>
      </c>
      <c r="L295" s="146">
        <f>(E295*C295)+F295+G295+H295+J295+K295</f>
        <v>9849.125</v>
      </c>
      <c r="M295" s="68"/>
    </row>
    <row r="296" spans="1:13" s="55" customFormat="1" ht="38.25" thickBot="1">
      <c r="A296" s="125"/>
      <c r="B296" s="153" t="s">
        <v>25</v>
      </c>
      <c r="C296" s="147">
        <v>0.5</v>
      </c>
      <c r="D296" s="147">
        <v>14</v>
      </c>
      <c r="E296" s="146">
        <v>6461</v>
      </c>
      <c r="F296" s="146"/>
      <c r="G296" s="146">
        <f>(E296*C296)*30%</f>
        <v>969.15</v>
      </c>
      <c r="H296" s="285"/>
      <c r="I296" s="286"/>
      <c r="J296" s="146"/>
      <c r="K296" s="146">
        <f>((E296*C296)+G296)*0.2</f>
        <v>839.93</v>
      </c>
      <c r="L296" s="146">
        <f>(E296*C296)+F296+G296+H296+J296+K296+K297</f>
        <v>6299.474999999999</v>
      </c>
      <c r="M296" s="68"/>
    </row>
    <row r="297" spans="1:12" s="55" customFormat="1" ht="19.5" thickBot="1">
      <c r="A297" s="125"/>
      <c r="B297" s="153"/>
      <c r="C297" s="147"/>
      <c r="D297" s="147"/>
      <c r="E297" s="146"/>
      <c r="F297" s="146"/>
      <c r="G297" s="146"/>
      <c r="H297" s="115"/>
      <c r="I297" s="116"/>
      <c r="J297" s="146"/>
      <c r="K297" s="146">
        <f>((C296*E296)+G296)*0.3</f>
        <v>1259.8949999999998</v>
      </c>
      <c r="L297" s="146"/>
    </row>
    <row r="298" spans="1:13" s="55" customFormat="1" ht="38.25" thickBot="1">
      <c r="A298" s="125"/>
      <c r="B298" s="153" t="s">
        <v>25</v>
      </c>
      <c r="C298" s="147">
        <v>0.5</v>
      </c>
      <c r="D298" s="147">
        <v>13</v>
      </c>
      <c r="E298" s="146">
        <v>6061</v>
      </c>
      <c r="F298" s="146"/>
      <c r="G298" s="146">
        <f>(E298*C298)*0.25</f>
        <v>757.625</v>
      </c>
      <c r="H298" s="285"/>
      <c r="I298" s="286"/>
      <c r="J298" s="146"/>
      <c r="K298" s="146">
        <f>((E298*C298)+F298+G298)*0.3</f>
        <v>1136.4375</v>
      </c>
      <c r="L298" s="146">
        <f>(E298*C298)+F298+G298+H298+J298+K298+0.01</f>
        <v>4924.5725</v>
      </c>
      <c r="M298" s="68"/>
    </row>
    <row r="299" spans="1:12" s="55" customFormat="1" ht="38.25" thickBot="1">
      <c r="A299" s="125"/>
      <c r="B299" s="153" t="s">
        <v>25</v>
      </c>
      <c r="C299" s="147">
        <v>1</v>
      </c>
      <c r="D299" s="147">
        <v>12</v>
      </c>
      <c r="E299" s="146">
        <v>5660</v>
      </c>
      <c r="F299" s="146"/>
      <c r="G299" s="146">
        <f>(E299*C299)*0.1</f>
        <v>566</v>
      </c>
      <c r="H299" s="285"/>
      <c r="I299" s="286"/>
      <c r="J299" s="146"/>
      <c r="K299" s="146">
        <f>((E299*C299)+F299+G299)*0.1</f>
        <v>622.6</v>
      </c>
      <c r="L299" s="146">
        <f>(E299*C299)+F299+G299+H299+J299+K299</f>
        <v>6848.6</v>
      </c>
    </row>
    <row r="300" spans="1:13" s="55" customFormat="1" ht="21" customHeight="1" thickBot="1">
      <c r="A300" s="125"/>
      <c r="B300" s="153" t="s">
        <v>88</v>
      </c>
      <c r="C300" s="147">
        <v>0.25</v>
      </c>
      <c r="D300" s="147">
        <v>12</v>
      </c>
      <c r="E300" s="146">
        <v>5660</v>
      </c>
      <c r="F300" s="146"/>
      <c r="G300" s="146">
        <f>(E300*C300)*0.3</f>
        <v>424.5</v>
      </c>
      <c r="H300" s="285"/>
      <c r="I300" s="286"/>
      <c r="J300" s="146"/>
      <c r="K300" s="146">
        <f>((E300*C300)+G300)*0.1</f>
        <v>183.95000000000002</v>
      </c>
      <c r="L300" s="146">
        <f>(E300*C300)+F300+G300+H300+J300+K300</f>
        <v>2023.45</v>
      </c>
      <c r="M300" s="68"/>
    </row>
    <row r="301" spans="1:13" s="55" customFormat="1" ht="34.5" customHeight="1" thickBot="1">
      <c r="A301" s="125"/>
      <c r="B301" s="153" t="s">
        <v>161</v>
      </c>
      <c r="C301" s="147">
        <v>0.75</v>
      </c>
      <c r="D301" s="147">
        <v>12</v>
      </c>
      <c r="E301" s="146">
        <v>5660</v>
      </c>
      <c r="F301" s="146"/>
      <c r="G301" s="146">
        <f>(E301*C301)*0.3</f>
        <v>1273.5</v>
      </c>
      <c r="H301" s="285"/>
      <c r="I301" s="286"/>
      <c r="J301" s="146"/>
      <c r="K301" s="146">
        <f>((E301*C301)+G301)*0.1</f>
        <v>551.85</v>
      </c>
      <c r="L301" s="146">
        <f>(E301*C301)+F301+G301+H301+J301+K301</f>
        <v>6070.35</v>
      </c>
      <c r="M301" s="68"/>
    </row>
    <row r="302" spans="1:13" s="55" customFormat="1" ht="33" customHeight="1" thickBot="1">
      <c r="A302" s="125"/>
      <c r="B302" s="153" t="s">
        <v>21</v>
      </c>
      <c r="C302" s="147">
        <v>0.25</v>
      </c>
      <c r="D302" s="147">
        <v>13</v>
      </c>
      <c r="E302" s="146">
        <v>6061</v>
      </c>
      <c r="F302" s="146"/>
      <c r="G302" s="146"/>
      <c r="H302" s="115"/>
      <c r="I302" s="116"/>
      <c r="J302" s="146"/>
      <c r="K302" s="146">
        <v>454.58</v>
      </c>
      <c r="L302" s="146">
        <f>(E302*C302)+F302+G302+H302+J302+K302</f>
        <v>1969.83</v>
      </c>
      <c r="M302" s="68"/>
    </row>
    <row r="303" spans="1:13" s="55" customFormat="1" ht="20.25" customHeight="1" thickBot="1">
      <c r="A303" s="125"/>
      <c r="B303" s="153" t="s">
        <v>21</v>
      </c>
      <c r="C303" s="147">
        <v>0.25</v>
      </c>
      <c r="D303" s="147">
        <v>13</v>
      </c>
      <c r="E303" s="146">
        <v>6061</v>
      </c>
      <c r="F303" s="147"/>
      <c r="G303" s="146"/>
      <c r="H303" s="310"/>
      <c r="I303" s="311"/>
      <c r="J303" s="147"/>
      <c r="K303" s="116">
        <f>((E303*C303)+G303)*0.3</f>
        <v>454.575</v>
      </c>
      <c r="L303" s="116">
        <f>(E303*C303)+F303+G303+I303+J303+K303</f>
        <v>1969.825</v>
      </c>
      <c r="M303" s="68"/>
    </row>
    <row r="304" spans="1:12" s="55" customFormat="1" ht="17.25" customHeight="1" thickBot="1">
      <c r="A304" s="125"/>
      <c r="B304" s="153" t="s">
        <v>28</v>
      </c>
      <c r="C304" s="147">
        <v>0.25</v>
      </c>
      <c r="D304" s="147">
        <v>13</v>
      </c>
      <c r="E304" s="146">
        <v>6061</v>
      </c>
      <c r="F304" s="146"/>
      <c r="G304" s="146"/>
      <c r="H304" s="285"/>
      <c r="I304" s="286"/>
      <c r="J304" s="146"/>
      <c r="K304" s="146">
        <f>((E304*C304)+F304+G304)*0.3</f>
        <v>454.575</v>
      </c>
      <c r="L304" s="146">
        <f>(E304*C304)+F304+G304+H304+J304+K304</f>
        <v>1969.825</v>
      </c>
    </row>
    <row r="305" spans="1:12" s="55" customFormat="1" ht="17.25" customHeight="1" thickBot="1">
      <c r="A305" s="125"/>
      <c r="B305" s="153" t="s">
        <v>19</v>
      </c>
      <c r="C305" s="147">
        <v>0.25</v>
      </c>
      <c r="D305" s="147">
        <v>13</v>
      </c>
      <c r="E305" s="146">
        <v>6061</v>
      </c>
      <c r="F305" s="146"/>
      <c r="G305" s="146">
        <f>(E305*C305)*0.1</f>
        <v>151.525</v>
      </c>
      <c r="H305" s="115"/>
      <c r="I305" s="116"/>
      <c r="J305" s="146"/>
      <c r="K305" s="146">
        <f>((C305*E305)+G305)*30%</f>
        <v>500.0325</v>
      </c>
      <c r="L305" s="146">
        <f>(E305*C305)+F305+G305+H305+J305+K305</f>
        <v>2166.8075</v>
      </c>
    </row>
    <row r="306" spans="1:13" s="55" customFormat="1" ht="17.25" customHeight="1" thickBot="1">
      <c r="A306" s="125"/>
      <c r="B306" s="153" t="s">
        <v>19</v>
      </c>
      <c r="C306" s="147">
        <v>0.25</v>
      </c>
      <c r="D306" s="147">
        <v>11</v>
      </c>
      <c r="E306" s="146">
        <v>5260</v>
      </c>
      <c r="F306" s="146"/>
      <c r="G306" s="146"/>
      <c r="H306" s="115"/>
      <c r="I306" s="116"/>
      <c r="J306" s="146">
        <f>C306*E306*15%</f>
        <v>197.25</v>
      </c>
      <c r="K306" s="146">
        <f>((C306*E306)+G306)*10%</f>
        <v>131.5</v>
      </c>
      <c r="L306" s="146">
        <f>(E306*C306)+F306+G306+H306+J306+K306</f>
        <v>1643.75</v>
      </c>
      <c r="M306" s="68"/>
    </row>
    <row r="307" spans="1:13" s="55" customFormat="1" ht="17.25" customHeight="1" thickBot="1">
      <c r="A307" s="125"/>
      <c r="B307" s="153" t="s">
        <v>216</v>
      </c>
      <c r="C307" s="147">
        <v>0.25</v>
      </c>
      <c r="D307" s="147">
        <v>11</v>
      </c>
      <c r="E307" s="146">
        <v>5260</v>
      </c>
      <c r="F307" s="146"/>
      <c r="G307" s="146"/>
      <c r="H307" s="115"/>
      <c r="I307" s="116"/>
      <c r="J307" s="146"/>
      <c r="K307" s="146">
        <f>((C307*E307)+G307)*20%</f>
        <v>263</v>
      </c>
      <c r="L307" s="146">
        <f>(E307*C307)+F307+G307+H307+J307+K307</f>
        <v>1578</v>
      </c>
      <c r="M307" s="68"/>
    </row>
    <row r="308" spans="1:13" s="55" customFormat="1" ht="34.5" customHeight="1" thickBot="1">
      <c r="A308" s="125"/>
      <c r="B308" s="153" t="s">
        <v>169</v>
      </c>
      <c r="C308" s="147">
        <v>1</v>
      </c>
      <c r="D308" s="147">
        <v>8</v>
      </c>
      <c r="E308" s="146">
        <v>4379</v>
      </c>
      <c r="F308" s="146">
        <f>E308*0.1</f>
        <v>437.90000000000003</v>
      </c>
      <c r="G308" s="146"/>
      <c r="H308" s="285"/>
      <c r="I308" s="286"/>
      <c r="J308" s="146"/>
      <c r="K308" s="146">
        <f>(E308+F308)*0.2</f>
        <v>963.38</v>
      </c>
      <c r="L308" s="146">
        <f>E308+F308+K308</f>
        <v>5780.28</v>
      </c>
      <c r="M308" s="68"/>
    </row>
    <row r="309" spans="1:12" s="11" customFormat="1" ht="0.75" customHeight="1" thickBot="1">
      <c r="A309" s="113"/>
      <c r="B309" s="158"/>
      <c r="C309" s="170"/>
      <c r="D309" s="170"/>
      <c r="E309" s="171">
        <v>2464</v>
      </c>
      <c r="F309" s="244"/>
      <c r="G309" s="244"/>
      <c r="H309" s="285"/>
      <c r="I309" s="286"/>
      <c r="J309" s="171"/>
      <c r="K309" s="146"/>
      <c r="L309" s="156"/>
    </row>
    <row r="310" spans="1:12" s="55" customFormat="1" ht="75.75" thickBot="1">
      <c r="A310" s="125"/>
      <c r="B310" s="153" t="s">
        <v>187</v>
      </c>
      <c r="C310" s="147">
        <v>1</v>
      </c>
      <c r="D310" s="147">
        <v>8</v>
      </c>
      <c r="E310" s="146">
        <v>4379</v>
      </c>
      <c r="F310" s="146"/>
      <c r="G310" s="146"/>
      <c r="H310" s="315"/>
      <c r="I310" s="316"/>
      <c r="J310" s="146">
        <f>E310*0.1</f>
        <v>437.90000000000003</v>
      </c>
      <c r="K310" s="146">
        <f>((E310*C310)+F310+G310)*0.1</f>
        <v>437.90000000000003</v>
      </c>
      <c r="L310" s="159">
        <f>(E310*C310)+F310+G310+H310+J310+K310</f>
        <v>5254.799999999999</v>
      </c>
    </row>
    <row r="311" spans="1:12" s="55" customFormat="1" ht="75.75" thickBot="1">
      <c r="A311" s="125"/>
      <c r="B311" s="153" t="s">
        <v>187</v>
      </c>
      <c r="C311" s="147">
        <v>1</v>
      </c>
      <c r="D311" s="147">
        <v>8</v>
      </c>
      <c r="E311" s="146">
        <v>4379</v>
      </c>
      <c r="F311" s="146"/>
      <c r="G311" s="146"/>
      <c r="H311" s="115"/>
      <c r="I311" s="116"/>
      <c r="J311" s="146">
        <f>E311*10%</f>
        <v>437.90000000000003</v>
      </c>
      <c r="K311" s="202">
        <f>E311*30%</f>
        <v>1313.7</v>
      </c>
      <c r="L311" s="164">
        <f>E311+J311+K311</f>
        <v>6130.599999999999</v>
      </c>
    </row>
    <row r="312" spans="1:12" s="55" customFormat="1" ht="75.75" thickBot="1">
      <c r="A312" s="125"/>
      <c r="B312" s="153" t="s">
        <v>187</v>
      </c>
      <c r="C312" s="147">
        <v>1</v>
      </c>
      <c r="D312" s="147">
        <v>9</v>
      </c>
      <c r="E312" s="146">
        <v>4619</v>
      </c>
      <c r="F312" s="146"/>
      <c r="G312" s="146"/>
      <c r="H312" s="285"/>
      <c r="I312" s="286"/>
      <c r="J312" s="146">
        <f>E312*0.1</f>
        <v>461.90000000000003</v>
      </c>
      <c r="K312" s="146">
        <f>E312*0.2</f>
        <v>923.8000000000001</v>
      </c>
      <c r="L312" s="176">
        <f>(E312*C312)+F312+G312+H312+J312+K312</f>
        <v>6004.7</v>
      </c>
    </row>
    <row r="313" spans="1:13" s="55" customFormat="1" ht="57" thickBot="1">
      <c r="A313" s="125"/>
      <c r="B313" s="153" t="s">
        <v>188</v>
      </c>
      <c r="C313" s="147">
        <v>1</v>
      </c>
      <c r="D313" s="147">
        <v>9</v>
      </c>
      <c r="E313" s="146">
        <v>4619</v>
      </c>
      <c r="F313" s="146"/>
      <c r="G313" s="146"/>
      <c r="H313" s="285"/>
      <c r="I313" s="286"/>
      <c r="J313" s="146">
        <f>(E313*C313)*0.1</f>
        <v>461.90000000000003</v>
      </c>
      <c r="K313" s="146">
        <f>(E313*C313)*0.2</f>
        <v>923.8000000000001</v>
      </c>
      <c r="L313" s="159">
        <f>(E313*C313)+F313+G313+H313+J313+K313</f>
        <v>6004.7</v>
      </c>
      <c r="M313" s="68"/>
    </row>
    <row r="314" spans="1:12" s="55" customFormat="1" ht="57" thickBot="1">
      <c r="A314" s="125"/>
      <c r="B314" s="153" t="s">
        <v>188</v>
      </c>
      <c r="C314" s="147">
        <v>1</v>
      </c>
      <c r="D314" s="147">
        <v>9</v>
      </c>
      <c r="E314" s="146">
        <v>4619</v>
      </c>
      <c r="F314" s="146"/>
      <c r="G314" s="146"/>
      <c r="H314" s="285"/>
      <c r="I314" s="286"/>
      <c r="J314" s="146">
        <f>E314*0.1</f>
        <v>461.90000000000003</v>
      </c>
      <c r="K314" s="146">
        <f>E314*0.3</f>
        <v>1385.7</v>
      </c>
      <c r="L314" s="159">
        <f>(E314*C314)+F314+G314+H314+J314+K314</f>
        <v>6466.599999999999</v>
      </c>
    </row>
    <row r="315" spans="1:13" s="55" customFormat="1" ht="57" thickBot="1">
      <c r="A315" s="125"/>
      <c r="B315" s="153" t="s">
        <v>189</v>
      </c>
      <c r="C315" s="147">
        <v>1</v>
      </c>
      <c r="D315" s="147">
        <v>7</v>
      </c>
      <c r="E315" s="146">
        <v>4112</v>
      </c>
      <c r="F315" s="146"/>
      <c r="G315" s="146"/>
      <c r="H315" s="285"/>
      <c r="I315" s="286"/>
      <c r="J315" s="146">
        <f>E315*0.1</f>
        <v>411.20000000000005</v>
      </c>
      <c r="K315" s="146">
        <f>E315*0.2</f>
        <v>822.4000000000001</v>
      </c>
      <c r="L315" s="159">
        <f>(E315*C315)+F315+G315+H315+J315+K315</f>
        <v>5345.6</v>
      </c>
      <c r="M315" s="68"/>
    </row>
    <row r="316" spans="1:12" s="55" customFormat="1" ht="38.25" thickBot="1">
      <c r="A316" s="125"/>
      <c r="B316" s="153" t="s">
        <v>159</v>
      </c>
      <c r="C316" s="147">
        <v>2</v>
      </c>
      <c r="D316" s="147">
        <v>8</v>
      </c>
      <c r="E316" s="146">
        <v>4379</v>
      </c>
      <c r="F316" s="146"/>
      <c r="G316" s="146"/>
      <c r="H316" s="285"/>
      <c r="I316" s="286"/>
      <c r="J316" s="146"/>
      <c r="K316" s="146">
        <f>(E316*C316)*0.3</f>
        <v>2627.4</v>
      </c>
      <c r="L316" s="159">
        <f>(E316*C316)+F316+G316+H316+J316+K316</f>
        <v>11385.4</v>
      </c>
    </row>
    <row r="317" spans="1:12" s="55" customFormat="1" ht="38.25" thickBot="1">
      <c r="A317" s="125"/>
      <c r="B317" s="153" t="s">
        <v>159</v>
      </c>
      <c r="C317" s="147">
        <v>1</v>
      </c>
      <c r="D317" s="147">
        <v>8</v>
      </c>
      <c r="E317" s="146">
        <v>4379</v>
      </c>
      <c r="F317" s="146"/>
      <c r="G317" s="146"/>
      <c r="H317" s="115"/>
      <c r="I317" s="116"/>
      <c r="J317" s="146"/>
      <c r="K317" s="146">
        <f>E317*0.2</f>
        <v>875.8000000000001</v>
      </c>
      <c r="L317" s="159">
        <f>E317+K317</f>
        <v>5254.8</v>
      </c>
    </row>
    <row r="318" spans="1:13" s="55" customFormat="1" ht="36" customHeight="1" thickBot="1">
      <c r="A318" s="125"/>
      <c r="B318" s="153" t="s">
        <v>159</v>
      </c>
      <c r="C318" s="147">
        <v>1</v>
      </c>
      <c r="D318" s="147">
        <v>8</v>
      </c>
      <c r="E318" s="146">
        <v>4379</v>
      </c>
      <c r="F318" s="146"/>
      <c r="G318" s="146"/>
      <c r="H318" s="285"/>
      <c r="I318" s="286"/>
      <c r="J318" s="146"/>
      <c r="K318" s="146">
        <f>E318*0.2</f>
        <v>875.8000000000001</v>
      </c>
      <c r="L318" s="159">
        <f>(E318*C318)+F318+G318+H318+J318+K318</f>
        <v>5254.8</v>
      </c>
      <c r="M318" s="68"/>
    </row>
    <row r="319" spans="1:12" s="11" customFormat="1" ht="16.5" customHeight="1" hidden="1" thickBot="1">
      <c r="A319" s="207"/>
      <c r="B319" s="153" t="s">
        <v>159</v>
      </c>
      <c r="C319" s="147"/>
      <c r="D319" s="147"/>
      <c r="E319" s="146">
        <v>3649</v>
      </c>
      <c r="F319" s="146"/>
      <c r="G319" s="146"/>
      <c r="H319" s="285"/>
      <c r="I319" s="286"/>
      <c r="J319" s="146"/>
      <c r="K319" s="146"/>
      <c r="L319" s="159"/>
    </row>
    <row r="320" spans="1:13" s="55" customFormat="1" ht="37.5" customHeight="1" thickBot="1">
      <c r="A320" s="125"/>
      <c r="B320" s="153" t="s">
        <v>159</v>
      </c>
      <c r="C320" s="147">
        <v>1</v>
      </c>
      <c r="D320" s="147">
        <v>6</v>
      </c>
      <c r="E320" s="146">
        <v>3872</v>
      </c>
      <c r="F320" s="146"/>
      <c r="G320" s="146"/>
      <c r="H320" s="285"/>
      <c r="I320" s="286"/>
      <c r="J320" s="146"/>
      <c r="K320" s="146">
        <f>E320*0.2</f>
        <v>774.4000000000001</v>
      </c>
      <c r="L320" s="159">
        <f>(E320*C320)+F320+G320+H320+J320+K320</f>
        <v>4646.4</v>
      </c>
      <c r="M320" s="68"/>
    </row>
    <row r="321" spans="1:13" s="55" customFormat="1" ht="33.75" customHeight="1" thickBot="1">
      <c r="A321" s="125"/>
      <c r="B321" s="153" t="s">
        <v>159</v>
      </c>
      <c r="C321" s="147">
        <v>1</v>
      </c>
      <c r="D321" s="147">
        <v>6</v>
      </c>
      <c r="E321" s="146">
        <v>3872</v>
      </c>
      <c r="F321" s="146"/>
      <c r="G321" s="146"/>
      <c r="H321" s="115"/>
      <c r="I321" s="116"/>
      <c r="J321" s="146"/>
      <c r="K321" s="146">
        <f>E321*0.3</f>
        <v>1161.6</v>
      </c>
      <c r="L321" s="159">
        <f>E321+K321</f>
        <v>5033.6</v>
      </c>
      <c r="M321" s="108"/>
    </row>
    <row r="322" spans="1:13" s="55" customFormat="1" ht="38.25" customHeight="1" thickBot="1">
      <c r="A322" s="125"/>
      <c r="B322" s="153" t="s">
        <v>159</v>
      </c>
      <c r="C322" s="147">
        <v>1</v>
      </c>
      <c r="D322" s="147">
        <v>8</v>
      </c>
      <c r="E322" s="146">
        <v>4379</v>
      </c>
      <c r="F322" s="146"/>
      <c r="G322" s="146"/>
      <c r="H322" s="115"/>
      <c r="I322" s="116"/>
      <c r="J322" s="146"/>
      <c r="K322" s="146">
        <f>E322*0.3</f>
        <v>1313.7</v>
      </c>
      <c r="L322" s="159">
        <f>E322+K322</f>
        <v>5692.7</v>
      </c>
      <c r="M322" s="68"/>
    </row>
    <row r="323" spans="1:13" s="55" customFormat="1" ht="38.25" customHeight="1" thickBot="1">
      <c r="A323" s="125"/>
      <c r="B323" s="153" t="s">
        <v>159</v>
      </c>
      <c r="C323" s="147">
        <v>1</v>
      </c>
      <c r="D323" s="147">
        <v>6</v>
      </c>
      <c r="E323" s="146">
        <v>3872</v>
      </c>
      <c r="F323" s="146"/>
      <c r="G323" s="146"/>
      <c r="H323" s="115"/>
      <c r="I323" s="116"/>
      <c r="J323" s="146"/>
      <c r="K323" s="146">
        <f>E323*0.1</f>
        <v>387.20000000000005</v>
      </c>
      <c r="L323" s="159">
        <f>(E323*C323)+F323+G323+H323+J323+K323</f>
        <v>4259.2</v>
      </c>
      <c r="M323" s="68"/>
    </row>
    <row r="324" spans="1:12" s="55" customFormat="1" ht="37.5" customHeight="1" thickBot="1">
      <c r="A324" s="125"/>
      <c r="B324" s="153" t="s">
        <v>159</v>
      </c>
      <c r="C324" s="147">
        <v>1</v>
      </c>
      <c r="D324" s="147">
        <v>7</v>
      </c>
      <c r="E324" s="146">
        <v>4112</v>
      </c>
      <c r="F324" s="146"/>
      <c r="G324" s="146"/>
      <c r="H324" s="115"/>
      <c r="I324" s="116"/>
      <c r="J324" s="146"/>
      <c r="K324" s="146">
        <f>C324*E324*0.3</f>
        <v>1233.6</v>
      </c>
      <c r="L324" s="159">
        <f>(E324*C324)+F324+G324+H324+J324+K324</f>
        <v>5345.6</v>
      </c>
    </row>
    <row r="325" spans="1:13" s="55" customFormat="1" ht="36.75" customHeight="1" thickBot="1">
      <c r="A325" s="125"/>
      <c r="B325" s="153" t="s">
        <v>159</v>
      </c>
      <c r="C325" s="147">
        <v>1</v>
      </c>
      <c r="D325" s="147">
        <v>8</v>
      </c>
      <c r="E325" s="146">
        <v>4379</v>
      </c>
      <c r="F325" s="146"/>
      <c r="G325" s="146"/>
      <c r="H325" s="115"/>
      <c r="I325" s="116"/>
      <c r="J325" s="146"/>
      <c r="K325" s="146">
        <f>C325*E325*0.2</f>
        <v>875.8000000000001</v>
      </c>
      <c r="L325" s="159">
        <f>(E325*C325)+F325+G325+H325+J325+K325</f>
        <v>5254.8</v>
      </c>
      <c r="M325" s="68"/>
    </row>
    <row r="326" spans="1:12" s="55" customFormat="1" ht="38.25" customHeight="1" thickBot="1">
      <c r="A326" s="125"/>
      <c r="B326" s="153" t="s">
        <v>159</v>
      </c>
      <c r="C326" s="147">
        <v>1</v>
      </c>
      <c r="D326" s="147">
        <v>6</v>
      </c>
      <c r="E326" s="146">
        <v>3872</v>
      </c>
      <c r="F326" s="146"/>
      <c r="G326" s="146"/>
      <c r="H326" s="115"/>
      <c r="I326" s="116"/>
      <c r="J326" s="146"/>
      <c r="K326" s="146">
        <f>C326*E326*0.3</f>
        <v>1161.6</v>
      </c>
      <c r="L326" s="159">
        <f>(E326*C326)+F326+G326+H326+J326+K326</f>
        <v>5033.6</v>
      </c>
    </row>
    <row r="327" spans="1:12" s="55" customFormat="1" ht="54.75" customHeight="1" thickBot="1">
      <c r="A327" s="125"/>
      <c r="B327" s="153" t="s">
        <v>185</v>
      </c>
      <c r="C327" s="147">
        <v>7</v>
      </c>
      <c r="D327" s="147">
        <v>4</v>
      </c>
      <c r="E327" s="146">
        <v>3391</v>
      </c>
      <c r="F327" s="146"/>
      <c r="G327" s="146"/>
      <c r="H327" s="285"/>
      <c r="I327" s="286"/>
      <c r="J327" s="146">
        <f>(E327*C327)*0.1</f>
        <v>2373.7000000000003</v>
      </c>
      <c r="K327" s="146"/>
      <c r="L327" s="159">
        <f>(E327*C327)+F327+G327+H327+J327+K327</f>
        <v>26110.7</v>
      </c>
    </row>
    <row r="328" spans="1:12" s="11" customFormat="1" ht="16.5" customHeight="1" hidden="1" thickBot="1">
      <c r="A328" s="113"/>
      <c r="B328" s="153"/>
      <c r="C328" s="147"/>
      <c r="D328" s="147"/>
      <c r="E328" s="146">
        <v>2826</v>
      </c>
      <c r="F328" s="146"/>
      <c r="G328" s="146"/>
      <c r="H328" s="285"/>
      <c r="I328" s="286"/>
      <c r="J328" s="146"/>
      <c r="K328" s="146"/>
      <c r="L328" s="159"/>
    </row>
    <row r="329" spans="1:13" s="55" customFormat="1" ht="80.25" customHeight="1" thickBot="1">
      <c r="A329" s="125"/>
      <c r="B329" s="153" t="s">
        <v>190</v>
      </c>
      <c r="C329" s="147">
        <v>1</v>
      </c>
      <c r="D329" s="147">
        <v>4</v>
      </c>
      <c r="E329" s="146">
        <v>3391</v>
      </c>
      <c r="F329" s="146"/>
      <c r="G329" s="146"/>
      <c r="H329" s="285"/>
      <c r="I329" s="286"/>
      <c r="J329" s="146">
        <f>E329*0.1</f>
        <v>339.1</v>
      </c>
      <c r="K329" s="146"/>
      <c r="L329" s="159">
        <f>(E329*C329)+F329+G329+H329+J329+K329</f>
        <v>3730.1</v>
      </c>
      <c r="M329" s="68"/>
    </row>
    <row r="330" spans="1:13" s="55" customFormat="1" ht="72.75" customHeight="1" thickBot="1">
      <c r="A330" s="125"/>
      <c r="B330" s="153" t="s">
        <v>191</v>
      </c>
      <c r="C330" s="147">
        <v>2</v>
      </c>
      <c r="D330" s="147">
        <v>4</v>
      </c>
      <c r="E330" s="146">
        <v>3391</v>
      </c>
      <c r="F330" s="146"/>
      <c r="G330" s="146"/>
      <c r="H330" s="285"/>
      <c r="I330" s="286"/>
      <c r="J330" s="146">
        <f>(E330*C330)*0.1</f>
        <v>678.2</v>
      </c>
      <c r="K330" s="146"/>
      <c r="L330" s="159">
        <f>(E330*C330)+F330+G330+H330+J330+K330</f>
        <v>7460.2</v>
      </c>
      <c r="M330" s="68"/>
    </row>
    <row r="331" spans="1:12" ht="15.75" customHeight="1">
      <c r="A331" s="111"/>
      <c r="B331" s="298" t="s">
        <v>15</v>
      </c>
      <c r="C331" s="298">
        <f>SUM(C293:C330)</f>
        <v>34.5</v>
      </c>
      <c r="D331" s="293"/>
      <c r="E331" s="317"/>
      <c r="F331" s="292">
        <f>SUM(F293:F330)</f>
        <v>1730.1000000000001</v>
      </c>
      <c r="G331" s="299">
        <f>SUM(G293:G330)</f>
        <v>7983.509999999999</v>
      </c>
      <c r="H331" s="245" t="s">
        <v>64</v>
      </c>
      <c r="I331" s="246">
        <f>C293+C295+C296+C298+C299+C300+C301+C303+C304+C305+C306+C307+C302</f>
        <v>6.5</v>
      </c>
      <c r="J331" s="309">
        <f>SUM(J293:J330)</f>
        <v>6260.950000000002</v>
      </c>
      <c r="K331" s="292">
        <f>SUM(K293:K330)</f>
        <v>32222.96</v>
      </c>
      <c r="L331" s="292">
        <f>SUM(L293:L330)</f>
        <v>197881.53000000006</v>
      </c>
    </row>
    <row r="332" spans="1:13" ht="15.75" customHeight="1">
      <c r="A332" s="111"/>
      <c r="B332" s="296"/>
      <c r="C332" s="296"/>
      <c r="D332" s="294"/>
      <c r="E332" s="318"/>
      <c r="F332" s="283"/>
      <c r="G332" s="290"/>
      <c r="H332" s="247" t="s">
        <v>65</v>
      </c>
      <c r="I332" s="227">
        <f>C308+C310+C311+C312+C313+C314+C315+C316+C317+C318+C320+C321+C322+C323+C324+C325+C326</f>
        <v>18</v>
      </c>
      <c r="J332" s="291"/>
      <c r="K332" s="283"/>
      <c r="L332" s="283"/>
      <c r="M332" s="6"/>
    </row>
    <row r="333" spans="1:12" ht="15.75" customHeight="1">
      <c r="A333" s="111"/>
      <c r="B333" s="296"/>
      <c r="C333" s="296"/>
      <c r="D333" s="294"/>
      <c r="E333" s="318"/>
      <c r="F333" s="283"/>
      <c r="G333" s="290"/>
      <c r="H333" s="238" t="s">
        <v>66</v>
      </c>
      <c r="I333" s="195">
        <f>C327+C329+C330</f>
        <v>10</v>
      </c>
      <c r="J333" s="291"/>
      <c r="K333" s="283"/>
      <c r="L333" s="283"/>
    </row>
    <row r="334" spans="1:12" ht="15.75" customHeight="1" thickBot="1">
      <c r="A334" s="111"/>
      <c r="B334" s="297"/>
      <c r="C334" s="297"/>
      <c r="D334" s="295"/>
      <c r="E334" s="319"/>
      <c r="F334" s="284"/>
      <c r="G334" s="300"/>
      <c r="H334" s="248"/>
      <c r="I334" s="161"/>
      <c r="J334" s="331"/>
      <c r="K334" s="284"/>
      <c r="L334" s="284"/>
    </row>
    <row r="335" spans="1:12" ht="15.75" customHeight="1">
      <c r="A335" s="111"/>
      <c r="B335" s="242"/>
      <c r="C335" s="242"/>
      <c r="D335" s="204"/>
      <c r="E335" s="203"/>
      <c r="F335" s="243"/>
      <c r="G335" s="243"/>
      <c r="H335" s="249"/>
      <c r="I335" s="250"/>
      <c r="J335" s="243"/>
      <c r="K335" s="243"/>
      <c r="L335" s="243"/>
    </row>
    <row r="336" spans="1:12" ht="15" customHeight="1" thickBot="1">
      <c r="A336" s="111"/>
      <c r="B336" s="242"/>
      <c r="C336" s="242"/>
      <c r="D336" s="242"/>
      <c r="E336" s="242"/>
      <c r="F336" s="242"/>
      <c r="G336" s="242"/>
      <c r="H336" s="242"/>
      <c r="I336" s="242"/>
      <c r="J336" s="243"/>
      <c r="K336" s="243"/>
      <c r="L336" s="243"/>
    </row>
    <row r="337" spans="1:12" ht="16.5" customHeight="1" thickBot="1">
      <c r="A337" s="111"/>
      <c r="B337" s="312" t="s">
        <v>210</v>
      </c>
      <c r="C337" s="313"/>
      <c r="D337" s="313"/>
      <c r="E337" s="313"/>
      <c r="F337" s="313"/>
      <c r="G337" s="313"/>
      <c r="H337" s="313"/>
      <c r="I337" s="313"/>
      <c r="J337" s="313"/>
      <c r="K337" s="313"/>
      <c r="L337" s="314"/>
    </row>
    <row r="338" spans="1:13" s="55" customFormat="1" ht="38.25" thickBot="1">
      <c r="A338" s="125"/>
      <c r="B338" s="153" t="s">
        <v>162</v>
      </c>
      <c r="C338" s="229">
        <v>1</v>
      </c>
      <c r="D338" s="147">
        <v>13</v>
      </c>
      <c r="E338" s="146">
        <v>6061</v>
      </c>
      <c r="F338" s="146">
        <f>E338*0.2</f>
        <v>1212.2</v>
      </c>
      <c r="G338" s="146"/>
      <c r="H338" s="285">
        <f>(E338+F338+G338)*0.15</f>
        <v>1090.98</v>
      </c>
      <c r="I338" s="286"/>
      <c r="J338" s="147"/>
      <c r="K338" s="146">
        <f>(E338+F338+G338+H338)*0.3</f>
        <v>2509.254</v>
      </c>
      <c r="L338" s="146">
        <f>E338+F338+G338+H338+K338+0.01</f>
        <v>10873.444000000001</v>
      </c>
      <c r="M338" s="68"/>
    </row>
    <row r="339" spans="1:13" s="55" customFormat="1" ht="19.5" thickBot="1">
      <c r="A339" s="125"/>
      <c r="B339" s="153" t="s">
        <v>26</v>
      </c>
      <c r="C339" s="229">
        <v>1</v>
      </c>
      <c r="D339" s="147">
        <v>12</v>
      </c>
      <c r="E339" s="146">
        <v>5660</v>
      </c>
      <c r="F339" s="147"/>
      <c r="G339" s="146">
        <f>(E339+F339)*15%</f>
        <v>849</v>
      </c>
      <c r="H339" s="285">
        <f>(E339+F339+G339)*0.15</f>
        <v>976.3499999999999</v>
      </c>
      <c r="I339" s="286"/>
      <c r="J339" s="147"/>
      <c r="K339" s="146">
        <f>(E339+F339+G339+H339)*0.1</f>
        <v>748.5350000000001</v>
      </c>
      <c r="L339" s="146">
        <f>(E339*C339)+F339+G339+H339+J339+K339</f>
        <v>8233.885</v>
      </c>
      <c r="M339" s="68"/>
    </row>
    <row r="340" spans="1:13" s="55" customFormat="1" ht="15.75" customHeight="1" thickBot="1">
      <c r="A340" s="125"/>
      <c r="B340" s="153" t="s">
        <v>26</v>
      </c>
      <c r="C340" s="229">
        <v>0.25</v>
      </c>
      <c r="D340" s="147">
        <v>11</v>
      </c>
      <c r="E340" s="146">
        <v>5260</v>
      </c>
      <c r="F340" s="147"/>
      <c r="G340" s="146"/>
      <c r="H340" s="285">
        <f>((E340*C340)+F340)*0.15</f>
        <v>197.25</v>
      </c>
      <c r="I340" s="286"/>
      <c r="J340" s="147"/>
      <c r="K340" s="146">
        <f>((C340*E340)+H340)*0.3</f>
        <v>453.675</v>
      </c>
      <c r="L340" s="146">
        <f>(E340*C340)+F340+G340+H340+J340+K340</f>
        <v>1965.925</v>
      </c>
      <c r="M340" s="68"/>
    </row>
    <row r="341" spans="1:12" s="11" customFormat="1" ht="16.5" customHeight="1" hidden="1" thickBot="1">
      <c r="A341" s="113"/>
      <c r="B341" s="153" t="s">
        <v>26</v>
      </c>
      <c r="C341" s="229">
        <v>1</v>
      </c>
      <c r="D341" s="147">
        <v>11</v>
      </c>
      <c r="E341" s="146">
        <v>4383</v>
      </c>
      <c r="F341" s="147"/>
      <c r="G341" s="146">
        <f>(E341+F341)*15%</f>
        <v>657.4499999999999</v>
      </c>
      <c r="H341" s="285">
        <f>((E341*C341)+F341)*0.15</f>
        <v>657.4499999999999</v>
      </c>
      <c r="I341" s="286"/>
      <c r="J341" s="147"/>
      <c r="K341" s="146">
        <f>((C341*E341)+H341)*0.3</f>
        <v>1512.135</v>
      </c>
      <c r="L341" s="146">
        <f>(E341*C341)+F341+G341+H341+J341+K341+0.01</f>
        <v>7210.045</v>
      </c>
    </row>
    <row r="342" spans="1:12" s="11" customFormat="1" ht="0.75" customHeight="1" hidden="1" thickBot="1">
      <c r="A342" s="113"/>
      <c r="B342" s="153" t="s">
        <v>26</v>
      </c>
      <c r="C342" s="229">
        <v>1</v>
      </c>
      <c r="D342" s="147">
        <v>11</v>
      </c>
      <c r="E342" s="146">
        <v>4383</v>
      </c>
      <c r="F342" s="147"/>
      <c r="G342" s="146">
        <f>(E342+F342)*15%</f>
        <v>657.4499999999999</v>
      </c>
      <c r="H342" s="285">
        <f>((E342*C342)+F342)*0.15</f>
        <v>657.4499999999999</v>
      </c>
      <c r="I342" s="286"/>
      <c r="J342" s="147"/>
      <c r="K342" s="146">
        <f>((C342*E342)+H342)*0.3</f>
        <v>1512.135</v>
      </c>
      <c r="L342" s="146">
        <f>(E342*C342)+F342+G342+H342+J342+K342+0.01</f>
        <v>7210.045</v>
      </c>
    </row>
    <row r="343" spans="1:12" s="11" customFormat="1" ht="19.5" customHeight="1" thickBot="1">
      <c r="A343" s="113"/>
      <c r="B343" s="153" t="s">
        <v>26</v>
      </c>
      <c r="C343" s="229">
        <v>1</v>
      </c>
      <c r="D343" s="147">
        <v>14</v>
      </c>
      <c r="E343" s="146">
        <v>6461</v>
      </c>
      <c r="F343" s="147"/>
      <c r="G343" s="146">
        <f>(E343+F343)*40%</f>
        <v>2584.4</v>
      </c>
      <c r="H343" s="285">
        <f aca="true" t="shared" si="4" ref="H343:H348">((E343*C343)+F343+G343)*0.15</f>
        <v>1356.81</v>
      </c>
      <c r="I343" s="286"/>
      <c r="J343" s="147"/>
      <c r="K343" s="146">
        <f aca="true" t="shared" si="5" ref="K343:K348">((C343*E343)+G343+H343)*0.3</f>
        <v>3120.6629999999996</v>
      </c>
      <c r="L343" s="146">
        <f>(E343*C343)+F343+G343+H343+J343+K343</f>
        <v>13522.873</v>
      </c>
    </row>
    <row r="344" spans="1:12" s="11" customFormat="1" ht="19.5" customHeight="1" thickBot="1">
      <c r="A344" s="113"/>
      <c r="B344" s="228" t="s">
        <v>26</v>
      </c>
      <c r="C344" s="229">
        <v>0.5</v>
      </c>
      <c r="D344" s="147">
        <v>14</v>
      </c>
      <c r="E344" s="146">
        <v>6461</v>
      </c>
      <c r="F344" s="147"/>
      <c r="G344" s="146"/>
      <c r="H344" s="285">
        <f t="shared" si="4"/>
        <v>484.575</v>
      </c>
      <c r="I344" s="286"/>
      <c r="J344" s="147"/>
      <c r="K344" s="146">
        <f t="shared" si="5"/>
        <v>1114.5224999999998</v>
      </c>
      <c r="L344" s="146">
        <f>(E344*C344)+F344+G344+H344+J344+K344</f>
        <v>4829.5975</v>
      </c>
    </row>
    <row r="345" spans="1:12" s="11" customFormat="1" ht="19.5" customHeight="1" thickBot="1">
      <c r="A345" s="251"/>
      <c r="B345" s="228" t="s">
        <v>26</v>
      </c>
      <c r="C345" s="229">
        <v>0.5</v>
      </c>
      <c r="D345" s="229">
        <v>13</v>
      </c>
      <c r="E345" s="230">
        <v>6061</v>
      </c>
      <c r="F345" s="147"/>
      <c r="G345" s="230"/>
      <c r="H345" s="285">
        <f t="shared" si="4"/>
        <v>454.575</v>
      </c>
      <c r="I345" s="286"/>
      <c r="J345" s="147"/>
      <c r="K345" s="146">
        <f t="shared" si="5"/>
        <v>1045.5224999999998</v>
      </c>
      <c r="L345" s="146">
        <f>(E345*C345)+F345+G345+H345+J345+K345</f>
        <v>4530.5975</v>
      </c>
    </row>
    <row r="346" spans="1:12" s="11" customFormat="1" ht="17.25" customHeight="1" thickBot="1">
      <c r="A346" s="113"/>
      <c r="B346" s="153" t="s">
        <v>26</v>
      </c>
      <c r="C346" s="229">
        <v>0.5</v>
      </c>
      <c r="D346" s="147">
        <v>14</v>
      </c>
      <c r="E346" s="146">
        <v>6461</v>
      </c>
      <c r="F346" s="147"/>
      <c r="G346" s="146">
        <f>(C346*E346+F346)*40%</f>
        <v>1292.2</v>
      </c>
      <c r="H346" s="285">
        <f t="shared" si="4"/>
        <v>678.405</v>
      </c>
      <c r="I346" s="286"/>
      <c r="J346" s="147"/>
      <c r="K346" s="146">
        <f t="shared" si="5"/>
        <v>1560.3314999999998</v>
      </c>
      <c r="L346" s="146">
        <f aca="true" t="shared" si="6" ref="L346:L354">(E346*C346)+F346+G346+H346+J346+K346</f>
        <v>6761.4365</v>
      </c>
    </row>
    <row r="347" spans="1:12" s="11" customFormat="1" ht="17.25" customHeight="1" thickBot="1">
      <c r="A347" s="113"/>
      <c r="B347" s="153" t="s">
        <v>26</v>
      </c>
      <c r="C347" s="229">
        <v>0.25</v>
      </c>
      <c r="D347" s="147">
        <v>13</v>
      </c>
      <c r="E347" s="146">
        <v>6061</v>
      </c>
      <c r="F347" s="147"/>
      <c r="G347" s="146"/>
      <c r="H347" s="285">
        <f t="shared" si="4"/>
        <v>227.2875</v>
      </c>
      <c r="I347" s="286"/>
      <c r="J347" s="147"/>
      <c r="K347" s="146">
        <f t="shared" si="5"/>
        <v>522.7612499999999</v>
      </c>
      <c r="L347" s="146">
        <f t="shared" si="6"/>
        <v>2265.29875</v>
      </c>
    </row>
    <row r="348" spans="1:12" s="11" customFormat="1" ht="17.25" customHeight="1" thickBot="1">
      <c r="A348" s="113"/>
      <c r="B348" s="153" t="s">
        <v>26</v>
      </c>
      <c r="C348" s="229">
        <v>0.25</v>
      </c>
      <c r="D348" s="147">
        <v>14</v>
      </c>
      <c r="E348" s="146">
        <v>6461</v>
      </c>
      <c r="F348" s="147"/>
      <c r="G348" s="146"/>
      <c r="H348" s="285">
        <f t="shared" si="4"/>
        <v>242.2875</v>
      </c>
      <c r="I348" s="286"/>
      <c r="J348" s="147"/>
      <c r="K348" s="146">
        <f t="shared" si="5"/>
        <v>557.2612499999999</v>
      </c>
      <c r="L348" s="146">
        <f t="shared" si="6"/>
        <v>2414.79875</v>
      </c>
    </row>
    <row r="349" spans="1:13" s="11" customFormat="1" ht="17.25" customHeight="1" thickBot="1">
      <c r="A349" s="113"/>
      <c r="B349" s="153" t="s">
        <v>26</v>
      </c>
      <c r="C349" s="229">
        <v>0.75</v>
      </c>
      <c r="D349" s="147">
        <v>11</v>
      </c>
      <c r="E349" s="146">
        <v>5260</v>
      </c>
      <c r="F349" s="147"/>
      <c r="G349" s="146"/>
      <c r="H349" s="285"/>
      <c r="I349" s="286"/>
      <c r="J349" s="147"/>
      <c r="K349" s="146"/>
      <c r="L349" s="146">
        <f t="shared" si="6"/>
        <v>3945</v>
      </c>
      <c r="M349" s="79"/>
    </row>
    <row r="350" spans="1:13" s="55" customFormat="1" ht="38.25" thickBot="1">
      <c r="A350" s="125"/>
      <c r="B350" s="153" t="s">
        <v>192</v>
      </c>
      <c r="C350" s="147">
        <v>1</v>
      </c>
      <c r="D350" s="147">
        <v>9</v>
      </c>
      <c r="E350" s="146">
        <v>4619</v>
      </c>
      <c r="F350" s="147"/>
      <c r="G350" s="147"/>
      <c r="H350" s="285">
        <f>E350*0.15</f>
        <v>692.85</v>
      </c>
      <c r="I350" s="286"/>
      <c r="J350" s="146">
        <f>(E350+H350)*0.1</f>
        <v>531.1850000000001</v>
      </c>
      <c r="K350" s="146">
        <f>(E350+H350)*0.2</f>
        <v>1062.3700000000001</v>
      </c>
      <c r="L350" s="146">
        <f t="shared" si="6"/>
        <v>6905.405000000001</v>
      </c>
      <c r="M350" s="68"/>
    </row>
    <row r="351" spans="1:13" s="55" customFormat="1" ht="38.25" thickBot="1">
      <c r="A351" s="125"/>
      <c r="B351" s="153" t="s">
        <v>192</v>
      </c>
      <c r="C351" s="147">
        <v>1</v>
      </c>
      <c r="D351" s="147">
        <v>9</v>
      </c>
      <c r="E351" s="146">
        <v>4619</v>
      </c>
      <c r="F351" s="147"/>
      <c r="G351" s="147"/>
      <c r="H351" s="285">
        <f>E351*0.15</f>
        <v>692.85</v>
      </c>
      <c r="I351" s="286"/>
      <c r="J351" s="146">
        <f>(E351+H351)*0.1</f>
        <v>531.1850000000001</v>
      </c>
      <c r="K351" s="146">
        <f>(E351+H351)*0.3</f>
        <v>1593.555</v>
      </c>
      <c r="L351" s="146">
        <f t="shared" si="6"/>
        <v>7436.590000000001</v>
      </c>
      <c r="M351" s="68"/>
    </row>
    <row r="352" spans="1:13" s="55" customFormat="1" ht="38.25" thickBot="1">
      <c r="A352" s="125"/>
      <c r="B352" s="153" t="s">
        <v>159</v>
      </c>
      <c r="C352" s="147">
        <v>2</v>
      </c>
      <c r="D352" s="147">
        <v>9</v>
      </c>
      <c r="E352" s="146">
        <v>4619</v>
      </c>
      <c r="F352" s="147"/>
      <c r="G352" s="147"/>
      <c r="H352" s="285">
        <f>(E352*C352)*0.15</f>
        <v>1385.7</v>
      </c>
      <c r="I352" s="286"/>
      <c r="J352" s="146">
        <f>((E352*C352)+H352)*0.1+0.01</f>
        <v>1062.38</v>
      </c>
      <c r="K352" s="147">
        <f>((E352*C352)+H352)*0.2</f>
        <v>2124.7400000000002</v>
      </c>
      <c r="L352" s="146">
        <f t="shared" si="6"/>
        <v>13810.820000000002</v>
      </c>
      <c r="M352" s="68"/>
    </row>
    <row r="353" spans="1:13" s="55" customFormat="1" ht="38.25" thickBot="1">
      <c r="A353" s="125"/>
      <c r="B353" s="153" t="s">
        <v>159</v>
      </c>
      <c r="C353" s="147">
        <v>3</v>
      </c>
      <c r="D353" s="147">
        <v>9</v>
      </c>
      <c r="E353" s="146">
        <v>4619</v>
      </c>
      <c r="F353" s="147"/>
      <c r="G353" s="147"/>
      <c r="H353" s="285">
        <f>(E353*C353)*0.15</f>
        <v>2078.5499999999997</v>
      </c>
      <c r="I353" s="286"/>
      <c r="J353" s="146">
        <f>((E353*C353)+H353)*0.1</f>
        <v>1593.555</v>
      </c>
      <c r="K353" s="146">
        <f>((E353*C353)+H353)*0.3</f>
        <v>4780.665</v>
      </c>
      <c r="L353" s="146">
        <f>(E353*C353)+F353+G353+H353+J353+K353+0.02</f>
        <v>22309.79</v>
      </c>
      <c r="M353" s="68"/>
    </row>
    <row r="354" spans="1:13" s="55" customFormat="1" ht="38.25" thickBot="1">
      <c r="A354" s="125"/>
      <c r="B354" s="153" t="s">
        <v>159</v>
      </c>
      <c r="C354" s="147">
        <v>1</v>
      </c>
      <c r="D354" s="147">
        <v>8</v>
      </c>
      <c r="E354" s="146">
        <v>4379</v>
      </c>
      <c r="F354" s="147"/>
      <c r="G354" s="147"/>
      <c r="H354" s="285">
        <f>(E354*C354)*0.15</f>
        <v>656.85</v>
      </c>
      <c r="I354" s="286"/>
      <c r="J354" s="146">
        <f>((E354*C354)+H354)*0.1</f>
        <v>503.58500000000004</v>
      </c>
      <c r="K354" s="146">
        <f>((E354*C354)+H354)*0.2</f>
        <v>1007.1700000000001</v>
      </c>
      <c r="L354" s="146">
        <f t="shared" si="6"/>
        <v>6546.6050000000005</v>
      </c>
      <c r="M354" s="68"/>
    </row>
    <row r="355" spans="1:13" s="55" customFormat="1" ht="39" customHeight="1" thickBot="1">
      <c r="A355" s="125"/>
      <c r="B355" s="153" t="s">
        <v>159</v>
      </c>
      <c r="C355" s="147">
        <v>1</v>
      </c>
      <c r="D355" s="147">
        <v>7</v>
      </c>
      <c r="E355" s="146">
        <v>4112</v>
      </c>
      <c r="F355" s="147"/>
      <c r="G355" s="147"/>
      <c r="H355" s="285">
        <f>(E355*C355)*0.15</f>
        <v>616.8</v>
      </c>
      <c r="I355" s="286"/>
      <c r="J355" s="146">
        <f>((E355*C355)+H355)*0.1</f>
        <v>472.88000000000005</v>
      </c>
      <c r="K355" s="146">
        <f>((E355*C355)+H355)*0.3</f>
        <v>1418.64</v>
      </c>
      <c r="L355" s="146">
        <f>(E355*C355)+F355+G355+H355+J355+K355+0.01</f>
        <v>6620.330000000001</v>
      </c>
      <c r="M355" s="68"/>
    </row>
    <row r="356" spans="1:13" s="55" customFormat="1" ht="38.25" thickBot="1">
      <c r="A356" s="125"/>
      <c r="B356" s="153" t="s">
        <v>159</v>
      </c>
      <c r="C356" s="147">
        <v>1</v>
      </c>
      <c r="D356" s="147">
        <v>8</v>
      </c>
      <c r="E356" s="146">
        <v>4379</v>
      </c>
      <c r="F356" s="147"/>
      <c r="G356" s="147"/>
      <c r="H356" s="285">
        <f>E356*0.15</f>
        <v>656.85</v>
      </c>
      <c r="I356" s="286"/>
      <c r="J356" s="146">
        <f>(E356+H356)*0.1</f>
        <v>503.58500000000004</v>
      </c>
      <c r="K356" s="146">
        <f>(E356+H356)*0.2</f>
        <v>1007.1700000000001</v>
      </c>
      <c r="L356" s="146">
        <f>(E356*C356)+F356+G356+H356+J356+K356</f>
        <v>6546.6050000000005</v>
      </c>
      <c r="M356" s="68"/>
    </row>
    <row r="357" spans="1:13" s="55" customFormat="1" ht="57" thickBot="1">
      <c r="A357" s="125"/>
      <c r="B357" s="153" t="s">
        <v>185</v>
      </c>
      <c r="C357" s="147">
        <v>4.5</v>
      </c>
      <c r="D357" s="147">
        <v>4</v>
      </c>
      <c r="E357" s="146">
        <v>3391</v>
      </c>
      <c r="F357" s="147"/>
      <c r="G357" s="147"/>
      <c r="H357" s="285">
        <f>(E357*C357)*0.15</f>
        <v>2288.9249999999997</v>
      </c>
      <c r="I357" s="286"/>
      <c r="J357" s="146">
        <f>((E357*C357)+H357)*0.1</f>
        <v>1754.8425</v>
      </c>
      <c r="K357" s="147"/>
      <c r="L357" s="146">
        <f>(E357*C357)+F357+G357+H357+J357+K357</f>
        <v>19303.267499999998</v>
      </c>
      <c r="M357" s="107"/>
    </row>
    <row r="358" spans="1:13" ht="15.75" customHeight="1">
      <c r="A358" s="111"/>
      <c r="B358" s="298" t="s">
        <v>15</v>
      </c>
      <c r="C358" s="298">
        <f>C338+C339+C340+C343+C344+C345+C346+C347+C348+C349+C350+C351+C352+C353+C354+C355+C356+C357</f>
        <v>20.5</v>
      </c>
      <c r="D358" s="298"/>
      <c r="E358" s="292"/>
      <c r="F358" s="292">
        <f>SUM(F338:F357)</f>
        <v>1212.2</v>
      </c>
      <c r="G358" s="299">
        <f>SUM(G338:G357)</f>
        <v>6040.499999999999</v>
      </c>
      <c r="H358" s="299">
        <f>SUM(H338:I357)</f>
        <v>16092.794999999998</v>
      </c>
      <c r="I358" s="309"/>
      <c r="J358" s="292">
        <f>SUM(J338:J357)</f>
        <v>6953.1975</v>
      </c>
      <c r="K358" s="292">
        <f>SUM(K338:K357)</f>
        <v>27651.106</v>
      </c>
      <c r="L358" s="292">
        <v>148822.27</v>
      </c>
      <c r="M358" s="12"/>
    </row>
    <row r="359" spans="1:13" ht="15" customHeight="1">
      <c r="A359" s="111"/>
      <c r="B359" s="296"/>
      <c r="C359" s="296"/>
      <c r="D359" s="296"/>
      <c r="E359" s="296"/>
      <c r="F359" s="283"/>
      <c r="G359" s="290"/>
      <c r="H359" s="194" t="s">
        <v>67</v>
      </c>
      <c r="I359" s="227">
        <f>C338+C339+C340+C343+C346+C344+C345+C347+C348+C349</f>
        <v>6</v>
      </c>
      <c r="J359" s="283"/>
      <c r="K359" s="283"/>
      <c r="L359" s="283"/>
      <c r="M359" s="12"/>
    </row>
    <row r="360" spans="1:13" ht="15" customHeight="1">
      <c r="A360" s="111"/>
      <c r="B360" s="296"/>
      <c r="C360" s="296"/>
      <c r="D360" s="296"/>
      <c r="E360" s="296"/>
      <c r="F360" s="283"/>
      <c r="G360" s="290"/>
      <c r="H360" s="194" t="s">
        <v>57</v>
      </c>
      <c r="I360" s="227">
        <f>C350+C351+C352+C353+C354+C355+C356</f>
        <v>10</v>
      </c>
      <c r="J360" s="283"/>
      <c r="K360" s="283"/>
      <c r="L360" s="283"/>
      <c r="M360" s="6"/>
    </row>
    <row r="361" spans="1:12" ht="15" customHeight="1" thickBot="1">
      <c r="A361" s="111"/>
      <c r="B361" s="297"/>
      <c r="C361" s="297"/>
      <c r="D361" s="297"/>
      <c r="E361" s="297"/>
      <c r="F361" s="284"/>
      <c r="G361" s="300"/>
      <c r="H361" s="177" t="s">
        <v>68</v>
      </c>
      <c r="I361" s="252">
        <f>C357</f>
        <v>4.5</v>
      </c>
      <c r="J361" s="284"/>
      <c r="K361" s="284"/>
      <c r="L361" s="284"/>
    </row>
    <row r="362" spans="1:12" ht="18">
      <c r="A362" s="111"/>
      <c r="B362" s="113"/>
      <c r="C362" s="113"/>
      <c r="D362" s="113"/>
      <c r="E362" s="113"/>
      <c r="F362" s="113"/>
      <c r="G362" s="113"/>
      <c r="H362" s="113"/>
      <c r="I362" s="113"/>
      <c r="J362" s="113"/>
      <c r="K362" s="113"/>
      <c r="L362" s="253"/>
    </row>
    <row r="363" spans="1:12" ht="0.75" customHeight="1" thickBot="1">
      <c r="A363" s="254"/>
      <c r="B363" s="111"/>
      <c r="C363" s="111"/>
      <c r="D363" s="111"/>
      <c r="E363" s="111"/>
      <c r="F363" s="111"/>
      <c r="G363" s="111"/>
      <c r="H363" s="111"/>
      <c r="I363" s="111"/>
      <c r="J363" s="111"/>
      <c r="K363" s="111"/>
      <c r="L363" s="113"/>
    </row>
    <row r="364" spans="1:12" ht="18" hidden="1">
      <c r="A364" s="254"/>
      <c r="B364" s="111"/>
      <c r="C364" s="111"/>
      <c r="D364" s="111"/>
      <c r="E364" s="111"/>
      <c r="F364" s="111"/>
      <c r="G364" s="111"/>
      <c r="H364" s="111"/>
      <c r="I364" s="111"/>
      <c r="J364" s="111"/>
      <c r="K364" s="111"/>
      <c r="L364" s="113"/>
    </row>
    <row r="365" spans="1:12" ht="18" hidden="1">
      <c r="A365" s="254"/>
      <c r="B365" s="111"/>
      <c r="C365" s="111"/>
      <c r="D365" s="111"/>
      <c r="E365" s="111"/>
      <c r="F365" s="111"/>
      <c r="G365" s="111"/>
      <c r="H365" s="111"/>
      <c r="I365" s="111"/>
      <c r="J365" s="111"/>
      <c r="K365" s="111"/>
      <c r="L365" s="113"/>
    </row>
    <row r="366" spans="1:12" ht="18" hidden="1">
      <c r="A366" s="254"/>
      <c r="B366" s="111"/>
      <c r="C366" s="111"/>
      <c r="D366" s="111"/>
      <c r="E366" s="111"/>
      <c r="F366" s="111"/>
      <c r="G366" s="111"/>
      <c r="H366" s="111"/>
      <c r="I366" s="111"/>
      <c r="J366" s="111"/>
      <c r="K366" s="111"/>
      <c r="L366" s="113"/>
    </row>
    <row r="367" spans="1:12" ht="18" hidden="1">
      <c r="A367" s="254"/>
      <c r="B367" s="111"/>
      <c r="C367" s="111"/>
      <c r="D367" s="111"/>
      <c r="E367" s="111"/>
      <c r="F367" s="111"/>
      <c r="G367" s="111"/>
      <c r="H367" s="111"/>
      <c r="I367" s="111"/>
      <c r="J367" s="111"/>
      <c r="K367" s="111"/>
      <c r="L367" s="113"/>
    </row>
    <row r="368" spans="1:12" ht="18" hidden="1">
      <c r="A368" s="254"/>
      <c r="B368" s="111"/>
      <c r="C368" s="111"/>
      <c r="D368" s="111"/>
      <c r="E368" s="111"/>
      <c r="F368" s="111"/>
      <c r="G368" s="111"/>
      <c r="H368" s="111"/>
      <c r="I368" s="111"/>
      <c r="J368" s="111"/>
      <c r="K368" s="111"/>
      <c r="L368" s="113"/>
    </row>
    <row r="369" spans="1:12" ht="18" hidden="1">
      <c r="A369" s="254"/>
      <c r="B369" s="111"/>
      <c r="C369" s="111"/>
      <c r="D369" s="111"/>
      <c r="E369" s="111"/>
      <c r="F369" s="111"/>
      <c r="G369" s="111"/>
      <c r="H369" s="111"/>
      <c r="I369" s="111"/>
      <c r="J369" s="111"/>
      <c r="K369" s="111"/>
      <c r="L369" s="113"/>
    </row>
    <row r="370" spans="1:12" ht="18" hidden="1">
      <c r="A370" s="254"/>
      <c r="B370" s="111"/>
      <c r="C370" s="111"/>
      <c r="D370" s="111"/>
      <c r="E370" s="111"/>
      <c r="F370" s="111"/>
      <c r="G370" s="111"/>
      <c r="H370" s="111"/>
      <c r="I370" s="111"/>
      <c r="J370" s="111"/>
      <c r="K370" s="111"/>
      <c r="L370" s="113"/>
    </row>
    <row r="371" spans="1:12" ht="18" hidden="1">
      <c r="A371" s="254"/>
      <c r="B371" s="111"/>
      <c r="C371" s="111"/>
      <c r="D371" s="111"/>
      <c r="E371" s="111"/>
      <c r="F371" s="111"/>
      <c r="G371" s="111"/>
      <c r="H371" s="111"/>
      <c r="I371" s="111"/>
      <c r="J371" s="111"/>
      <c r="K371" s="111"/>
      <c r="L371" s="113"/>
    </row>
    <row r="372" spans="1:12" ht="18.75" customHeight="1" thickBot="1">
      <c r="A372" s="254"/>
      <c r="B372" s="306" t="s">
        <v>219</v>
      </c>
      <c r="C372" s="307"/>
      <c r="D372" s="307"/>
      <c r="E372" s="307"/>
      <c r="F372" s="307"/>
      <c r="G372" s="307"/>
      <c r="H372" s="307"/>
      <c r="I372" s="307"/>
      <c r="J372" s="307"/>
      <c r="K372" s="307"/>
      <c r="L372" s="308"/>
    </row>
    <row r="373" spans="1:12" ht="19.5" hidden="1" thickBot="1">
      <c r="A373" s="254"/>
      <c r="B373" s="255"/>
      <c r="C373" s="147"/>
      <c r="D373" s="147"/>
      <c r="E373" s="146"/>
      <c r="F373" s="147"/>
      <c r="G373" s="146"/>
      <c r="H373" s="285"/>
      <c r="I373" s="286"/>
      <c r="J373" s="147"/>
      <c r="K373" s="146"/>
      <c r="L373" s="146"/>
    </row>
    <row r="374" spans="1:12" ht="19.5" hidden="1" thickBot="1">
      <c r="A374" s="254"/>
      <c r="B374" s="255"/>
      <c r="C374" s="147"/>
      <c r="D374" s="147"/>
      <c r="E374" s="146"/>
      <c r="F374" s="147"/>
      <c r="G374" s="147"/>
      <c r="H374" s="285"/>
      <c r="I374" s="286"/>
      <c r="J374" s="147"/>
      <c r="K374" s="146"/>
      <c r="L374" s="146"/>
    </row>
    <row r="375" spans="1:13" ht="19.5" thickBot="1">
      <c r="A375" s="254"/>
      <c r="B375" s="255" t="s">
        <v>220</v>
      </c>
      <c r="C375" s="147">
        <v>1</v>
      </c>
      <c r="D375" s="147">
        <v>11</v>
      </c>
      <c r="E375" s="146">
        <v>5260</v>
      </c>
      <c r="F375" s="147"/>
      <c r="G375" s="147"/>
      <c r="H375" s="115"/>
      <c r="I375" s="116"/>
      <c r="J375" s="147"/>
      <c r="K375" s="146"/>
      <c r="L375" s="146">
        <f>E375*C375</f>
        <v>5260</v>
      </c>
      <c r="M375" s="104"/>
    </row>
    <row r="376" spans="1:13" ht="19.5" thickBot="1">
      <c r="A376" s="254"/>
      <c r="B376" s="256" t="s">
        <v>221</v>
      </c>
      <c r="C376" s="145">
        <v>4</v>
      </c>
      <c r="D376" s="240">
        <v>7</v>
      </c>
      <c r="E376" s="192">
        <v>4112</v>
      </c>
      <c r="F376" s="145"/>
      <c r="G376" s="240"/>
      <c r="H376" s="287"/>
      <c r="I376" s="287"/>
      <c r="J376" s="146">
        <f>((E376*C376)+H376)*0.1</f>
        <v>1644.8000000000002</v>
      </c>
      <c r="K376" s="146"/>
      <c r="L376" s="146">
        <f>(E376*C376)+F376+G376+H376+J376+K376</f>
        <v>18092.8</v>
      </c>
      <c r="M376" s="106"/>
    </row>
    <row r="377" spans="1:13" ht="38.25" thickBot="1">
      <c r="A377" s="254"/>
      <c r="B377" s="256" t="s">
        <v>169</v>
      </c>
      <c r="C377" s="145">
        <v>1</v>
      </c>
      <c r="D377" s="257">
        <v>7</v>
      </c>
      <c r="E377" s="258">
        <v>4112</v>
      </c>
      <c r="F377" s="145"/>
      <c r="G377" s="240"/>
      <c r="H377" s="287"/>
      <c r="I377" s="287"/>
      <c r="J377" s="146">
        <f>((E377*C377)+H377)*0.1</f>
        <v>411.20000000000005</v>
      </c>
      <c r="K377" s="146"/>
      <c r="L377" s="146">
        <f>(E377*C377)+F377+G377+H377+J377+K377</f>
        <v>4523.2</v>
      </c>
      <c r="M377" s="105"/>
    </row>
    <row r="378" spans="1:13" ht="38.25" thickBot="1">
      <c r="A378" s="254"/>
      <c r="B378" s="259" t="s">
        <v>222</v>
      </c>
      <c r="C378" s="145">
        <v>4</v>
      </c>
      <c r="D378" s="260">
        <v>7</v>
      </c>
      <c r="E378" s="159">
        <v>4112</v>
      </c>
      <c r="F378" s="145"/>
      <c r="G378" s="240"/>
      <c r="H378" s="287">
        <f>E378*0.15</f>
        <v>616.8</v>
      </c>
      <c r="I378" s="287"/>
      <c r="J378" s="146">
        <f>((E378*C378)+H378)*0.1</f>
        <v>1706.48</v>
      </c>
      <c r="K378" s="146"/>
      <c r="L378" s="146">
        <f>(E378*C378)+F378+G378+H378+J378+K378</f>
        <v>18771.28</v>
      </c>
      <c r="M378" s="105"/>
    </row>
    <row r="379" spans="1:13" ht="70.5" customHeight="1" thickBot="1">
      <c r="A379" s="254"/>
      <c r="B379" s="256" t="s">
        <v>223</v>
      </c>
      <c r="C379" s="145">
        <v>3.5</v>
      </c>
      <c r="D379" s="261">
        <v>4</v>
      </c>
      <c r="E379" s="159">
        <v>3391</v>
      </c>
      <c r="F379" s="145"/>
      <c r="G379" s="261"/>
      <c r="H379" s="288"/>
      <c r="I379" s="289"/>
      <c r="J379" s="146">
        <f>((E379*C379)+H379)*0.1</f>
        <v>1186.8500000000001</v>
      </c>
      <c r="K379" s="159"/>
      <c r="L379" s="159">
        <f>(E379*C379)+F379+G379+H379+J379+K379</f>
        <v>13055.35</v>
      </c>
      <c r="M379" s="103"/>
    </row>
    <row r="380" spans="1:12" ht="18.75">
      <c r="A380" s="254"/>
      <c r="B380" s="304" t="s">
        <v>38</v>
      </c>
      <c r="C380" s="283">
        <f>C375+C376+C377+C378+C379</f>
        <v>13.5</v>
      </c>
      <c r="D380" s="296"/>
      <c r="E380" s="296"/>
      <c r="F380" s="296"/>
      <c r="G380" s="296"/>
      <c r="H380" s="290">
        <f>SUM(H373:H379)</f>
        <v>616.8</v>
      </c>
      <c r="I380" s="291"/>
      <c r="J380" s="283">
        <f>J376+J377+J378+J379</f>
        <v>4949.33</v>
      </c>
      <c r="K380" s="283">
        <f>K373+K374+K376+K377+K378</f>
        <v>0</v>
      </c>
      <c r="L380" s="283">
        <f>L373+L374+L375+L376+L377+L378+L379</f>
        <v>59702.63</v>
      </c>
    </row>
    <row r="381" spans="1:12" ht="18.75">
      <c r="A381" s="254"/>
      <c r="B381" s="304"/>
      <c r="C381" s="283"/>
      <c r="D381" s="296"/>
      <c r="E381" s="296"/>
      <c r="F381" s="296"/>
      <c r="G381" s="296"/>
      <c r="H381" s="194" t="s">
        <v>72</v>
      </c>
      <c r="I381" s="183">
        <f>C373+C374+C375</f>
        <v>1</v>
      </c>
      <c r="J381" s="283"/>
      <c r="K381" s="283"/>
      <c r="L381" s="283"/>
    </row>
    <row r="382" spans="1:12" ht="18.75">
      <c r="A382" s="254"/>
      <c r="B382" s="304"/>
      <c r="C382" s="283"/>
      <c r="D382" s="296"/>
      <c r="E382" s="296"/>
      <c r="F382" s="296"/>
      <c r="G382" s="296"/>
      <c r="H382" s="194" t="s">
        <v>73</v>
      </c>
      <c r="I382" s="195">
        <f>C376+C377+C378</f>
        <v>9</v>
      </c>
      <c r="J382" s="283"/>
      <c r="K382" s="283"/>
      <c r="L382" s="283"/>
    </row>
    <row r="383" spans="1:13" ht="19.5" thickBot="1">
      <c r="A383" s="254"/>
      <c r="B383" s="305"/>
      <c r="C383" s="284"/>
      <c r="D383" s="297"/>
      <c r="E383" s="297"/>
      <c r="F383" s="297"/>
      <c r="G383" s="297"/>
      <c r="H383" s="177" t="s">
        <v>66</v>
      </c>
      <c r="I383" s="185">
        <f>C379</f>
        <v>3.5</v>
      </c>
      <c r="J383" s="284"/>
      <c r="K383" s="284"/>
      <c r="L383" s="284"/>
      <c r="M383" s="6"/>
    </row>
    <row r="384" spans="1:12" ht="19.5" thickBot="1">
      <c r="A384" s="254"/>
      <c r="B384" s="167"/>
      <c r="C384" s="186"/>
      <c r="D384" s="186"/>
      <c r="E384" s="186"/>
      <c r="F384" s="186"/>
      <c r="G384" s="187"/>
      <c r="H384" s="188"/>
      <c r="I384" s="189"/>
      <c r="J384" s="187"/>
      <c r="K384" s="186"/>
      <c r="L384" s="179"/>
    </row>
    <row r="385" spans="1:12" ht="18">
      <c r="A385" s="254"/>
      <c r="B385" s="111"/>
      <c r="C385" s="111"/>
      <c r="D385" s="111"/>
      <c r="E385" s="111"/>
      <c r="F385" s="111"/>
      <c r="G385" s="111"/>
      <c r="H385" s="111"/>
      <c r="I385" s="111"/>
      <c r="J385" s="111"/>
      <c r="K385" s="111"/>
      <c r="L385" s="113"/>
    </row>
    <row r="386" spans="1:12" ht="18">
      <c r="A386" s="254"/>
      <c r="B386" s="111"/>
      <c r="C386" s="111"/>
      <c r="D386" s="111"/>
      <c r="E386" s="111"/>
      <c r="F386" s="111"/>
      <c r="G386" s="111"/>
      <c r="H386" s="111"/>
      <c r="I386" s="111"/>
      <c r="J386" s="111"/>
      <c r="K386" s="111"/>
      <c r="L386" s="113"/>
    </row>
    <row r="387" spans="1:12" ht="18">
      <c r="A387" s="254"/>
      <c r="B387" s="111"/>
      <c r="C387" s="111"/>
      <c r="D387" s="111"/>
      <c r="E387" s="111"/>
      <c r="F387" s="111"/>
      <c r="G387" s="111"/>
      <c r="H387" s="111"/>
      <c r="I387" s="111"/>
      <c r="J387" s="111"/>
      <c r="K387" s="111"/>
      <c r="L387" s="113"/>
    </row>
    <row r="388" spans="1:12" ht="18">
      <c r="A388" s="254"/>
      <c r="B388" s="111"/>
      <c r="C388" s="111"/>
      <c r="D388" s="111"/>
      <c r="E388" s="111"/>
      <c r="F388" s="111"/>
      <c r="G388" s="111"/>
      <c r="H388" s="111"/>
      <c r="I388" s="111"/>
      <c r="J388" s="111"/>
      <c r="K388" s="111"/>
      <c r="L388" s="113"/>
    </row>
    <row r="389" spans="1:14" ht="18.75" customHeight="1">
      <c r="A389" s="254"/>
      <c r="B389" s="111"/>
      <c r="C389" s="302" t="s">
        <v>52</v>
      </c>
      <c r="D389" s="302"/>
      <c r="E389" s="302"/>
      <c r="F389" s="262">
        <f>I40+I83+I126+I226+I242+I256+I287+I331+I359+I381</f>
        <v>49.5</v>
      </c>
      <c r="G389" s="111"/>
      <c r="H389" s="111"/>
      <c r="I389" s="111"/>
      <c r="J389" s="111"/>
      <c r="K389" s="111"/>
      <c r="L389" s="113"/>
      <c r="N389" s="6"/>
    </row>
    <row r="390" spans="1:12" ht="18.75" customHeight="1">
      <c r="A390" s="254"/>
      <c r="B390" s="111"/>
      <c r="C390" s="302" t="s">
        <v>53</v>
      </c>
      <c r="D390" s="302"/>
      <c r="E390" s="302"/>
      <c r="F390" s="262">
        <f>I41+I56+I84+I127+I227+I243+I257+I289+I332+I360+I382</f>
        <v>104</v>
      </c>
      <c r="G390" s="111"/>
      <c r="H390" s="111"/>
      <c r="I390" s="111"/>
      <c r="J390" s="263"/>
      <c r="K390" s="111"/>
      <c r="L390" s="113"/>
    </row>
    <row r="391" spans="1:12" ht="18.75" customHeight="1">
      <c r="A391" s="254"/>
      <c r="B391" s="111"/>
      <c r="C391" s="302" t="s">
        <v>54</v>
      </c>
      <c r="D391" s="302"/>
      <c r="E391" s="302"/>
      <c r="F391" s="262">
        <f>I57+I85+I128+I228+I244+I258+I290+I333+I361+I383</f>
        <v>44.5</v>
      </c>
      <c r="G391" s="111"/>
      <c r="H391" s="111"/>
      <c r="I391" s="111"/>
      <c r="J391" s="263"/>
      <c r="K391" s="111"/>
      <c r="L391" s="113"/>
    </row>
    <row r="392" spans="1:12" ht="18.75" customHeight="1">
      <c r="A392" s="254"/>
      <c r="B392" s="111"/>
      <c r="C392" s="303" t="s">
        <v>79</v>
      </c>
      <c r="D392" s="303"/>
      <c r="E392" s="303"/>
      <c r="F392" s="262">
        <f>I42+I110+I229</f>
        <v>44.75</v>
      </c>
      <c r="G392" s="111"/>
      <c r="H392" s="111"/>
      <c r="I392" s="111"/>
      <c r="J392" s="111"/>
      <c r="K392" s="111"/>
      <c r="L392" s="113"/>
    </row>
    <row r="393" spans="1:12" ht="18.75" customHeight="1">
      <c r="A393" s="254"/>
      <c r="B393" s="111"/>
      <c r="C393" s="302" t="s">
        <v>55</v>
      </c>
      <c r="D393" s="302"/>
      <c r="E393" s="302"/>
      <c r="F393" s="264">
        <f>I43+I129</f>
        <v>2.5</v>
      </c>
      <c r="G393" s="111"/>
      <c r="H393" s="111"/>
      <c r="I393" s="111"/>
      <c r="J393" s="111"/>
      <c r="K393" s="111"/>
      <c r="L393" s="113"/>
    </row>
    <row r="394" spans="1:12" ht="18">
      <c r="A394" s="254"/>
      <c r="B394" s="111"/>
      <c r="C394" s="111"/>
      <c r="D394" s="265"/>
      <c r="E394" s="265"/>
      <c r="F394" s="111"/>
      <c r="G394" s="111"/>
      <c r="H394" s="111"/>
      <c r="I394" s="111"/>
      <c r="J394" s="111"/>
      <c r="K394" s="111"/>
      <c r="L394" s="113"/>
    </row>
    <row r="395" spans="1:12" ht="22.5" customHeight="1">
      <c r="A395" s="254"/>
      <c r="B395" s="111"/>
      <c r="C395" s="301" t="s">
        <v>56</v>
      </c>
      <c r="D395" s="301"/>
      <c r="E395" s="301"/>
      <c r="F395" s="267">
        <f>SUM(F389:F394)</f>
        <v>245.25</v>
      </c>
      <c r="G395" s="267"/>
      <c r="H395" s="268"/>
      <c r="I395" s="111"/>
      <c r="J395" s="111"/>
      <c r="K395" s="111"/>
      <c r="L395" s="113"/>
    </row>
    <row r="396" spans="1:12" ht="22.5" customHeight="1">
      <c r="A396" s="254"/>
      <c r="B396" s="111"/>
      <c r="C396" s="266"/>
      <c r="D396" s="266"/>
      <c r="E396" s="266"/>
      <c r="F396" s="267"/>
      <c r="G396" s="267"/>
      <c r="H396" s="268"/>
      <c r="I396" s="111"/>
      <c r="J396" s="111"/>
      <c r="K396" s="111"/>
      <c r="L396" s="113"/>
    </row>
    <row r="397" spans="1:12" ht="18.75">
      <c r="A397" s="254"/>
      <c r="B397" s="5" t="s">
        <v>129</v>
      </c>
      <c r="C397" s="276"/>
      <c r="D397" s="276"/>
      <c r="E397" s="112"/>
      <c r="F397" s="276"/>
      <c r="G397" s="5" t="s">
        <v>236</v>
      </c>
      <c r="H397" s="276"/>
      <c r="I397" s="111"/>
      <c r="J397" s="111"/>
      <c r="K397" s="111"/>
      <c r="L397" s="113"/>
    </row>
    <row r="398" spans="1:12" ht="18">
      <c r="A398" s="254"/>
      <c r="B398" s="276"/>
      <c r="C398" s="276"/>
      <c r="D398" s="276"/>
      <c r="E398" s="276"/>
      <c r="F398" s="276"/>
      <c r="G398" s="276"/>
      <c r="H398" s="276"/>
      <c r="I398" s="111"/>
      <c r="J398" s="111"/>
      <c r="K398" s="111"/>
      <c r="L398" s="113"/>
    </row>
    <row r="399" spans="1:12" ht="18.75">
      <c r="A399" s="254"/>
      <c r="B399" s="5" t="s">
        <v>40</v>
      </c>
      <c r="C399" s="17"/>
      <c r="D399" s="17"/>
      <c r="E399" s="17"/>
      <c r="F399" s="17"/>
      <c r="G399" s="5" t="s">
        <v>244</v>
      </c>
      <c r="H399" s="277"/>
      <c r="I399" s="111"/>
      <c r="J399" s="111"/>
      <c r="K399" s="111"/>
      <c r="L399" s="113"/>
    </row>
    <row r="401" spans="2:8" ht="18.75">
      <c r="B401" s="5" t="s">
        <v>251</v>
      </c>
      <c r="G401" s="393" t="s">
        <v>252</v>
      </c>
      <c r="H401" s="393"/>
    </row>
    <row r="405" ht="0.75" customHeight="1"/>
    <row r="406" ht="15" hidden="1"/>
    <row r="409" spans="2:7" ht="15.75">
      <c r="B409" s="17"/>
      <c r="C409" s="70"/>
      <c r="D409" s="16"/>
      <c r="E409" s="16"/>
      <c r="G409"/>
    </row>
    <row r="410" spans="2:10" ht="20.25">
      <c r="B410" s="17"/>
      <c r="C410" s="70"/>
      <c r="D410" s="16"/>
      <c r="E410" s="16"/>
      <c r="G410"/>
      <c r="H410" s="28"/>
      <c r="I410"/>
      <c r="J410"/>
    </row>
    <row r="411" spans="2:11" ht="15.75">
      <c r="B411" s="17"/>
      <c r="C411" s="70"/>
      <c r="D411" s="16"/>
      <c r="E411" s="16"/>
      <c r="G411"/>
      <c r="H411" s="17"/>
      <c r="I411" s="26"/>
      <c r="J411" s="17"/>
      <c r="K411" s="17"/>
    </row>
    <row r="412" spans="2:11" ht="15.75">
      <c r="B412" s="17"/>
      <c r="C412" s="70"/>
      <c r="D412" s="16"/>
      <c r="E412" s="16"/>
      <c r="G412"/>
      <c r="H412" s="17"/>
      <c r="I412" s="17"/>
      <c r="J412" s="17"/>
      <c r="K412" s="17"/>
    </row>
    <row r="413" spans="2:11" ht="15.75">
      <c r="B413" s="17"/>
      <c r="C413" s="70"/>
      <c r="D413" s="16"/>
      <c r="E413" s="16"/>
      <c r="G413"/>
      <c r="H413" s="17"/>
      <c r="I413" s="17"/>
      <c r="J413" s="17"/>
      <c r="K413" s="17"/>
    </row>
    <row r="414" spans="2:11" ht="15.75">
      <c r="B414" s="17"/>
      <c r="C414" s="70"/>
      <c r="D414" s="16"/>
      <c r="E414" s="16"/>
      <c r="G414"/>
      <c r="H414" s="17"/>
      <c r="I414" s="17"/>
      <c r="J414" s="17"/>
      <c r="K414" s="17"/>
    </row>
    <row r="415" spans="2:11" ht="15.75">
      <c r="B415" s="17"/>
      <c r="C415" s="70"/>
      <c r="D415" s="16"/>
      <c r="E415" s="16"/>
      <c r="G415"/>
      <c r="H415" s="17"/>
      <c r="I415" s="17"/>
      <c r="J415" s="17"/>
      <c r="K415" s="17"/>
    </row>
    <row r="416" spans="2:12" ht="15.75">
      <c r="B416" s="33"/>
      <c r="C416" s="71"/>
      <c r="D416" s="59"/>
      <c r="E416" s="59"/>
      <c r="F416" s="33"/>
      <c r="G416" s="34"/>
      <c r="H416" s="35"/>
      <c r="I416" s="35"/>
      <c r="J416" s="35"/>
      <c r="K416" s="35"/>
      <c r="L416" s="36"/>
    </row>
    <row r="417" spans="2:12" ht="15.75" customHeight="1">
      <c r="B417" s="37"/>
      <c r="C417" s="38"/>
      <c r="D417" s="39"/>
      <c r="E417" s="39"/>
      <c r="F417" s="39"/>
      <c r="G417" s="37"/>
      <c r="H417" s="40"/>
      <c r="I417" s="40"/>
      <c r="J417" s="40"/>
      <c r="K417" s="40"/>
      <c r="L417" s="36"/>
    </row>
    <row r="418" spans="2:12" ht="18" customHeight="1">
      <c r="B418" s="37"/>
      <c r="C418" s="38"/>
      <c r="D418" s="39"/>
      <c r="E418" s="39"/>
      <c r="F418" s="39"/>
      <c r="G418" s="37"/>
      <c r="H418" s="40"/>
      <c r="I418" s="40"/>
      <c r="J418" s="40"/>
      <c r="K418" s="40"/>
      <c r="L418" s="36"/>
    </row>
    <row r="419" spans="2:12" ht="18.75" customHeight="1">
      <c r="B419" s="37"/>
      <c r="C419" s="38"/>
      <c r="D419" s="39"/>
      <c r="E419" s="39"/>
      <c r="F419" s="39"/>
      <c r="G419" s="37"/>
      <c r="H419" s="40"/>
      <c r="I419" s="40"/>
      <c r="J419" s="40"/>
      <c r="K419" s="40"/>
      <c r="L419" s="36"/>
    </row>
    <row r="420" spans="2:12" ht="19.5" customHeight="1">
      <c r="B420" s="38"/>
      <c r="C420" s="38"/>
      <c r="D420" s="39"/>
      <c r="E420" s="39"/>
      <c r="F420" s="39"/>
      <c r="G420" s="37"/>
      <c r="H420" s="47"/>
      <c r="I420" s="47"/>
      <c r="J420" s="47"/>
      <c r="K420" s="47"/>
      <c r="L420" s="36"/>
    </row>
    <row r="421" spans="2:12" ht="19.5" customHeight="1">
      <c r="B421" s="39"/>
      <c r="C421" s="38"/>
      <c r="D421" s="39"/>
      <c r="E421" s="39"/>
      <c r="F421" s="41"/>
      <c r="G421" s="41"/>
      <c r="H421" s="42"/>
      <c r="I421" s="42"/>
      <c r="J421" s="43"/>
      <c r="K421" s="44"/>
      <c r="L421" s="36"/>
    </row>
    <row r="422" spans="2:12" ht="19.5" customHeight="1">
      <c r="B422" s="39"/>
      <c r="C422" s="38"/>
      <c r="D422" s="39"/>
      <c r="E422" s="39"/>
      <c r="F422" s="41"/>
      <c r="G422" s="41"/>
      <c r="H422" s="42"/>
      <c r="I422" s="42"/>
      <c r="J422" s="43"/>
      <c r="K422" s="44"/>
      <c r="L422" s="36"/>
    </row>
    <row r="423" spans="2:12" ht="18" customHeight="1">
      <c r="B423" s="39"/>
      <c r="C423" s="38"/>
      <c r="D423" s="39"/>
      <c r="E423" s="39"/>
      <c r="F423" s="41"/>
      <c r="G423" s="41"/>
      <c r="H423" s="42"/>
      <c r="I423" s="42"/>
      <c r="J423" s="43"/>
      <c r="K423" s="44"/>
      <c r="L423" s="36"/>
    </row>
    <row r="424" spans="2:12" ht="18.75" customHeight="1">
      <c r="B424" s="39"/>
      <c r="C424" s="38"/>
      <c r="D424" s="39"/>
      <c r="E424" s="39"/>
      <c r="F424" s="45"/>
      <c r="G424" s="45"/>
      <c r="H424" s="42"/>
      <c r="I424" s="42"/>
      <c r="J424" s="46"/>
      <c r="K424" s="40"/>
      <c r="L424" s="36"/>
    </row>
    <row r="425" spans="2:12" ht="15.75">
      <c r="B425" s="35"/>
      <c r="C425" s="34"/>
      <c r="D425" s="54"/>
      <c r="E425" s="34"/>
      <c r="F425" s="34"/>
      <c r="G425" s="34"/>
      <c r="H425" s="34"/>
      <c r="I425" s="34"/>
      <c r="J425" s="34"/>
      <c r="K425" s="33"/>
      <c r="L425" s="36"/>
    </row>
    <row r="426" spans="2:12" ht="15.75">
      <c r="B426" s="35"/>
      <c r="C426" s="34"/>
      <c r="D426" s="54"/>
      <c r="E426" s="34"/>
      <c r="F426" s="34"/>
      <c r="G426" s="34"/>
      <c r="H426" s="34"/>
      <c r="I426" s="34"/>
      <c r="J426" s="34"/>
      <c r="K426" s="33"/>
      <c r="L426" s="36"/>
    </row>
    <row r="427" spans="2:10" ht="15.75">
      <c r="B427"/>
      <c r="C427" s="17"/>
      <c r="D427" s="48"/>
      <c r="E427"/>
      <c r="F427"/>
      <c r="G427"/>
      <c r="H427"/>
      <c r="I427"/>
      <c r="J427"/>
    </row>
    <row r="428" spans="2:10" ht="15.75">
      <c r="B428"/>
      <c r="C428" s="17"/>
      <c r="D428" s="48"/>
      <c r="E428"/>
      <c r="F428"/>
      <c r="G428"/>
      <c r="H428"/>
      <c r="I428"/>
      <c r="J428"/>
    </row>
    <row r="429" spans="2:10" ht="15.75">
      <c r="B429" s="17"/>
      <c r="C429" s="17"/>
      <c r="D429" s="48"/>
      <c r="E429"/>
      <c r="F429"/>
      <c r="G429"/>
      <c r="H429"/>
      <c r="I429"/>
      <c r="J429"/>
    </row>
    <row r="430" spans="2:10" ht="15.75">
      <c r="B430" s="16"/>
      <c r="C430"/>
      <c r="D430" s="48"/>
      <c r="E430"/>
      <c r="F430"/>
      <c r="G430"/>
      <c r="H430"/>
      <c r="I430"/>
      <c r="J430"/>
    </row>
    <row r="431" spans="2:10" ht="15.75">
      <c r="B431" s="16"/>
      <c r="C431"/>
      <c r="D431" s="48"/>
      <c r="E431"/>
      <c r="F431"/>
      <c r="G431"/>
      <c r="H431"/>
      <c r="I431"/>
      <c r="J431"/>
    </row>
    <row r="432" spans="2:10" ht="15.75">
      <c r="B432"/>
      <c r="C432" s="17"/>
      <c r="E432"/>
      <c r="F432"/>
      <c r="G432" s="17"/>
      <c r="H432"/>
      <c r="I432"/>
      <c r="J432"/>
    </row>
    <row r="433" spans="2:10" ht="15.75">
      <c r="B433" s="16"/>
      <c r="C433"/>
      <c r="D433" s="48"/>
      <c r="E433"/>
      <c r="F433"/>
      <c r="G433"/>
      <c r="H433"/>
      <c r="I433"/>
      <c r="J433"/>
    </row>
    <row r="434" spans="2:10" ht="15.75">
      <c r="B434" s="16"/>
      <c r="C434" s="17"/>
      <c r="D434" s="17"/>
      <c r="E434" s="17"/>
      <c r="F434" s="17"/>
      <c r="G434" s="32"/>
      <c r="H434" s="17"/>
      <c r="I434"/>
      <c r="J434"/>
    </row>
  </sheetData>
  <sheetProtection/>
  <mergeCells count="422">
    <mergeCell ref="G401:H401"/>
    <mergeCell ref="H160:I160"/>
    <mergeCell ref="H159:I159"/>
    <mergeCell ref="H349:I349"/>
    <mergeCell ref="H211:I211"/>
    <mergeCell ref="H212:I212"/>
    <mergeCell ref="H204:I204"/>
    <mergeCell ref="H207:I207"/>
    <mergeCell ref="H206:I206"/>
    <mergeCell ref="H210:I210"/>
    <mergeCell ref="G225:G229"/>
    <mergeCell ref="H225:I225"/>
    <mergeCell ref="H196:I196"/>
    <mergeCell ref="H218:I218"/>
    <mergeCell ref="H208:I208"/>
    <mergeCell ref="H213:I213"/>
    <mergeCell ref="H216:I216"/>
    <mergeCell ref="H215:I215"/>
    <mergeCell ref="H220:I220"/>
    <mergeCell ref="H221:I221"/>
    <mergeCell ref="H163:I163"/>
    <mergeCell ref="H164:I164"/>
    <mergeCell ref="H165:I165"/>
    <mergeCell ref="H170:I170"/>
    <mergeCell ref="H180:I180"/>
    <mergeCell ref="H193:I193"/>
    <mergeCell ref="H179:I179"/>
    <mergeCell ref="H169:I169"/>
    <mergeCell ref="H167:I168"/>
    <mergeCell ref="G156:G157"/>
    <mergeCell ref="L225:L229"/>
    <mergeCell ref="B225:B229"/>
    <mergeCell ref="C225:C229"/>
    <mergeCell ref="D225:D229"/>
    <mergeCell ref="E225:E229"/>
    <mergeCell ref="F225:F229"/>
    <mergeCell ref="J156:J157"/>
    <mergeCell ref="H158:I158"/>
    <mergeCell ref="H156:I157"/>
    <mergeCell ref="E156:E157"/>
    <mergeCell ref="F156:F157"/>
    <mergeCell ref="E152:E153"/>
    <mergeCell ref="C148:C149"/>
    <mergeCell ref="C156:C157"/>
    <mergeCell ref="D156:D157"/>
    <mergeCell ref="C152:C153"/>
    <mergeCell ref="D152:D153"/>
    <mergeCell ref="D148:D149"/>
    <mergeCell ref="E148:E149"/>
    <mergeCell ref="B2:F2"/>
    <mergeCell ref="C109:C110"/>
    <mergeCell ref="D109:D110"/>
    <mergeCell ref="B91:B92"/>
    <mergeCell ref="C82:C85"/>
    <mergeCell ref="C91:C92"/>
    <mergeCell ref="D91:D92"/>
    <mergeCell ref="B9:L9"/>
    <mergeCell ref="L109:L110"/>
    <mergeCell ref="B82:B85"/>
    <mergeCell ref="L156:L157"/>
    <mergeCell ref="K156:K157"/>
    <mergeCell ref="H38:I38"/>
    <mergeCell ref="H151:I151"/>
    <mergeCell ref="H152:I153"/>
    <mergeCell ref="H116:I116"/>
    <mergeCell ref="H65:I65"/>
    <mergeCell ref="L152:L153"/>
    <mergeCell ref="K154:K155"/>
    <mergeCell ref="L154:L155"/>
    <mergeCell ref="K152:K153"/>
    <mergeCell ref="K127:K129"/>
    <mergeCell ref="L148:L149"/>
    <mergeCell ref="L127:L129"/>
    <mergeCell ref="B131:L131"/>
    <mergeCell ref="H132:I132"/>
    <mergeCell ref="H133:I133"/>
    <mergeCell ref="C126:C129"/>
    <mergeCell ref="H140:I140"/>
    <mergeCell ref="E127:E129"/>
    <mergeCell ref="J127:J129"/>
    <mergeCell ref="F152:F153"/>
    <mergeCell ref="J148:J149"/>
    <mergeCell ref="H148:I149"/>
    <mergeCell ref="H150:I150"/>
    <mergeCell ref="J152:J153"/>
    <mergeCell ref="H145:I145"/>
    <mergeCell ref="G152:G153"/>
    <mergeCell ref="H134:I134"/>
    <mergeCell ref="H137:I137"/>
    <mergeCell ref="K109:K110"/>
    <mergeCell ref="B112:L112"/>
    <mergeCell ref="B109:B110"/>
    <mergeCell ref="J109:J110"/>
    <mergeCell ref="H109:I109"/>
    <mergeCell ref="F109:F110"/>
    <mergeCell ref="G148:G149"/>
    <mergeCell ref="G127:G129"/>
    <mergeCell ref="D126:D129"/>
    <mergeCell ref="F127:F129"/>
    <mergeCell ref="F148:F149"/>
    <mergeCell ref="D82:D85"/>
    <mergeCell ref="G91:G92"/>
    <mergeCell ref="B127:B129"/>
    <mergeCell ref="E109:E110"/>
    <mergeCell ref="E91:E92"/>
    <mergeCell ref="F91:F92"/>
    <mergeCell ref="G109:G110"/>
    <mergeCell ref="E82:E85"/>
    <mergeCell ref="H94:I94"/>
    <mergeCell ref="H93:I93"/>
    <mergeCell ref="H104:I104"/>
    <mergeCell ref="H108:I108"/>
    <mergeCell ref="H100:I100"/>
    <mergeCell ref="H106:I106"/>
    <mergeCell ref="H107:I107"/>
    <mergeCell ref="H105:I105"/>
    <mergeCell ref="H99:I99"/>
    <mergeCell ref="H97:I97"/>
    <mergeCell ref="J91:J92"/>
    <mergeCell ref="K91:K92"/>
    <mergeCell ref="J82:J85"/>
    <mergeCell ref="H80:I80"/>
    <mergeCell ref="H81:I81"/>
    <mergeCell ref="H88:I88"/>
    <mergeCell ref="H90:I90"/>
    <mergeCell ref="H92:I92"/>
    <mergeCell ref="H91:I91"/>
    <mergeCell ref="B71:B73"/>
    <mergeCell ref="H64:I64"/>
    <mergeCell ref="H61:I61"/>
    <mergeCell ref="H66:I66"/>
    <mergeCell ref="H68:I68"/>
    <mergeCell ref="B59:L59"/>
    <mergeCell ref="H69:I69"/>
    <mergeCell ref="H67:I67"/>
    <mergeCell ref="E71:E73"/>
    <mergeCell ref="F71:F73"/>
    <mergeCell ref="H209:I209"/>
    <mergeCell ref="H114:I114"/>
    <mergeCell ref="H146:I146"/>
    <mergeCell ref="H154:I155"/>
    <mergeCell ref="H120:I120"/>
    <mergeCell ref="H142:I142"/>
    <mergeCell ref="H125:I125"/>
    <mergeCell ref="H161:I161"/>
    <mergeCell ref="H250:I250"/>
    <mergeCell ref="H118:I118"/>
    <mergeCell ref="H184:I184"/>
    <mergeCell ref="H214:I214"/>
    <mergeCell ref="H119:I119"/>
    <mergeCell ref="H136:I136"/>
    <mergeCell ref="H144:I144"/>
    <mergeCell ref="H138:I138"/>
    <mergeCell ref="H166:I166"/>
    <mergeCell ref="H197:I197"/>
    <mergeCell ref="H299:I299"/>
    <mergeCell ref="H327:I327"/>
    <mergeCell ref="H319:I319"/>
    <mergeCell ref="H330:I330"/>
    <mergeCell ref="J331:J334"/>
    <mergeCell ref="H320:I320"/>
    <mergeCell ref="H328:I328"/>
    <mergeCell ref="H300:I300"/>
    <mergeCell ref="H312:I312"/>
    <mergeCell ref="H301:I301"/>
    <mergeCell ref="H357:I357"/>
    <mergeCell ref="H338:I338"/>
    <mergeCell ref="H313:I313"/>
    <mergeCell ref="H340:I340"/>
    <mergeCell ref="H342:I342"/>
    <mergeCell ref="H344:I344"/>
    <mergeCell ref="H345:I345"/>
    <mergeCell ref="H356:I356"/>
    <mergeCell ref="H315:I315"/>
    <mergeCell ref="H318:I318"/>
    <mergeCell ref="C71:C73"/>
    <mergeCell ref="H76:I76"/>
    <mergeCell ref="H62:I62"/>
    <mergeCell ref="H89:I89"/>
    <mergeCell ref="H82:I82"/>
    <mergeCell ref="B87:L87"/>
    <mergeCell ref="L82:L85"/>
    <mergeCell ref="K82:K85"/>
    <mergeCell ref="F82:F85"/>
    <mergeCell ref="D71:D73"/>
    <mergeCell ref="B231:L231"/>
    <mergeCell ref="H171:I171"/>
    <mergeCell ref="L91:L92"/>
    <mergeCell ref="G71:G73"/>
    <mergeCell ref="G82:G85"/>
    <mergeCell ref="H77:I77"/>
    <mergeCell ref="B75:L75"/>
    <mergeCell ref="H78:I78"/>
    <mergeCell ref="J71:J73"/>
    <mergeCell ref="K71:K73"/>
    <mergeCell ref="K56:K57"/>
    <mergeCell ref="B52:L52"/>
    <mergeCell ref="D242:D244"/>
    <mergeCell ref="G167:G168"/>
    <mergeCell ref="H172:I172"/>
    <mergeCell ref="H200:I200"/>
    <mergeCell ref="H199:I199"/>
    <mergeCell ref="H183:I183"/>
    <mergeCell ref="H182:I182"/>
    <mergeCell ref="H236:I236"/>
    <mergeCell ref="J39:J43"/>
    <mergeCell ref="H53:I53"/>
    <mergeCell ref="L39:L43"/>
    <mergeCell ref="H79:I79"/>
    <mergeCell ref="L71:L73"/>
    <mergeCell ref="H39:I39"/>
    <mergeCell ref="L56:L57"/>
    <mergeCell ref="J56:J57"/>
    <mergeCell ref="H60:I60"/>
    <mergeCell ref="K39:K43"/>
    <mergeCell ref="G39:G43"/>
    <mergeCell ref="G56:G57"/>
    <mergeCell ref="H54:I54"/>
    <mergeCell ref="B39:B43"/>
    <mergeCell ref="C39:C43"/>
    <mergeCell ref="E39:E43"/>
    <mergeCell ref="F39:F43"/>
    <mergeCell ref="B56:B57"/>
    <mergeCell ref="C56:C57"/>
    <mergeCell ref="H22:I22"/>
    <mergeCell ref="H23:I23"/>
    <mergeCell ref="H26:I26"/>
    <mergeCell ref="H29:I29"/>
    <mergeCell ref="H19:I19"/>
    <mergeCell ref="D56:D57"/>
    <mergeCell ref="E56:E57"/>
    <mergeCell ref="F56:F57"/>
    <mergeCell ref="H55:I55"/>
    <mergeCell ref="D39:D43"/>
    <mergeCell ref="H32:I32"/>
    <mergeCell ref="H30:I30"/>
    <mergeCell ref="H24:I24"/>
    <mergeCell ref="B20:L20"/>
    <mergeCell ref="F15:F18"/>
    <mergeCell ref="H36:I36"/>
    <mergeCell ref="H34:I34"/>
    <mergeCell ref="H35:I35"/>
    <mergeCell ref="H15:I18"/>
    <mergeCell ref="H21:I21"/>
    <mergeCell ref="B15:B18"/>
    <mergeCell ref="E10:E18"/>
    <mergeCell ref="F10:I14"/>
    <mergeCell ref="B10:B13"/>
    <mergeCell ref="C10:C18"/>
    <mergeCell ref="D10:D18"/>
    <mergeCell ref="G15:G18"/>
    <mergeCell ref="J15:J18"/>
    <mergeCell ref="K15:K18"/>
    <mergeCell ref="K10:K11"/>
    <mergeCell ref="L10:L18"/>
    <mergeCell ref="J10:J11"/>
    <mergeCell ref="H37:I37"/>
    <mergeCell ref="H27:I27"/>
    <mergeCell ref="H28:I28"/>
    <mergeCell ref="H31:I31"/>
    <mergeCell ref="H33:I33"/>
    <mergeCell ref="H63:I63"/>
    <mergeCell ref="H70:I70"/>
    <mergeCell ref="H101:I101"/>
    <mergeCell ref="H122:I122"/>
    <mergeCell ref="H121:I121"/>
    <mergeCell ref="H162:I162"/>
    <mergeCell ref="H98:I98"/>
    <mergeCell ref="H95:I95"/>
    <mergeCell ref="H117:I117"/>
    <mergeCell ref="H113:I113"/>
    <mergeCell ref="H205:I205"/>
    <mergeCell ref="H175:I175"/>
    <mergeCell ref="H192:I192"/>
    <mergeCell ref="H194:I194"/>
    <mergeCell ref="H187:I187"/>
    <mergeCell ref="H188:I188"/>
    <mergeCell ref="H201:I201"/>
    <mergeCell ref="H195:I195"/>
    <mergeCell ref="H190:I190"/>
    <mergeCell ref="H178:I178"/>
    <mergeCell ref="B167:B168"/>
    <mergeCell ref="D167:D168"/>
    <mergeCell ref="E167:E168"/>
    <mergeCell ref="F167:F168"/>
    <mergeCell ref="C167:C168"/>
    <mergeCell ref="K255:K258"/>
    <mergeCell ref="H198:I198"/>
    <mergeCell ref="H202:I202"/>
    <mergeCell ref="H181:I181"/>
    <mergeCell ref="H203:I203"/>
    <mergeCell ref="H238:I238"/>
    <mergeCell ref="H239:I239"/>
    <mergeCell ref="L167:L168"/>
    <mergeCell ref="L358:L361"/>
    <mergeCell ref="K242:K244"/>
    <mergeCell ref="H285:I285"/>
    <mergeCell ref="H343:I343"/>
    <mergeCell ref="H329:I329"/>
    <mergeCell ref="J167:J168"/>
    <mergeCell ref="H217:I217"/>
    <mergeCell ref="L331:L334"/>
    <mergeCell ref="B242:B244"/>
    <mergeCell ref="H241:I241"/>
    <mergeCell ref="B247:L247"/>
    <mergeCell ref="E242:E244"/>
    <mergeCell ref="H222:I222"/>
    <mergeCell ref="H223:I223"/>
    <mergeCell ref="H233:I233"/>
    <mergeCell ref="K225:K229"/>
    <mergeCell ref="J225:J229"/>
    <mergeCell ref="H249:I249"/>
    <mergeCell ref="G242:G244"/>
    <mergeCell ref="H219:I219"/>
    <mergeCell ref="H251:I251"/>
    <mergeCell ref="B246:L246"/>
    <mergeCell ref="F242:F244"/>
    <mergeCell ref="L242:L244"/>
    <mergeCell ref="J242:J244"/>
    <mergeCell ref="H240:I240"/>
    <mergeCell ref="H237:I237"/>
    <mergeCell ref="B287:B290"/>
    <mergeCell ref="H224:I224"/>
    <mergeCell ref="H254:I254"/>
    <mergeCell ref="H255:I255"/>
    <mergeCell ref="H262:I262"/>
    <mergeCell ref="H252:I252"/>
    <mergeCell ref="H253:I253"/>
    <mergeCell ref="H248:I248"/>
    <mergeCell ref="H232:I232"/>
    <mergeCell ref="C242:C244"/>
    <mergeCell ref="H282:I282"/>
    <mergeCell ref="H280:I280"/>
    <mergeCell ref="H261:I261"/>
    <mergeCell ref="B260:L260"/>
    <mergeCell ref="L255:L258"/>
    <mergeCell ref="H279:I279"/>
    <mergeCell ref="H273:I273"/>
    <mergeCell ref="H275:I275"/>
    <mergeCell ref="J287:J290"/>
    <mergeCell ref="C287:C290"/>
    <mergeCell ref="B255:B258"/>
    <mergeCell ref="J255:J258"/>
    <mergeCell ref="F255:F258"/>
    <mergeCell ref="C255:C258"/>
    <mergeCell ref="G255:G258"/>
    <mergeCell ref="D255:D258"/>
    <mergeCell ref="E255:E258"/>
    <mergeCell ref="H284:I284"/>
    <mergeCell ref="H355:I355"/>
    <mergeCell ref="H269:I269"/>
    <mergeCell ref="H264:I264"/>
    <mergeCell ref="B292:L292"/>
    <mergeCell ref="K287:K290"/>
    <mergeCell ref="L287:L290"/>
    <mergeCell ref="H281:I281"/>
    <mergeCell ref="H346:I346"/>
    <mergeCell ref="H339:I339"/>
    <mergeCell ref="H316:I316"/>
    <mergeCell ref="H314:I314"/>
    <mergeCell ref="H341:I341"/>
    <mergeCell ref="H303:I303"/>
    <mergeCell ref="B337:L337"/>
    <mergeCell ref="K331:K334"/>
    <mergeCell ref="H298:I298"/>
    <mergeCell ref="H310:I310"/>
    <mergeCell ref="H308:I308"/>
    <mergeCell ref="G331:G334"/>
    <mergeCell ref="E331:E334"/>
    <mergeCell ref="D287:D290"/>
    <mergeCell ref="E287:E290"/>
    <mergeCell ref="H293:I293"/>
    <mergeCell ref="H295:I295"/>
    <mergeCell ref="H309:I309"/>
    <mergeCell ref="H304:I304"/>
    <mergeCell ref="H296:I296"/>
    <mergeCell ref="H291:I291"/>
    <mergeCell ref="F287:F290"/>
    <mergeCell ref="G287:G290"/>
    <mergeCell ref="H352:I352"/>
    <mergeCell ref="H347:I347"/>
    <mergeCell ref="H348:I348"/>
    <mergeCell ref="H354:I354"/>
    <mergeCell ref="H351:I351"/>
    <mergeCell ref="H350:I350"/>
    <mergeCell ref="H353:I353"/>
    <mergeCell ref="C389:E389"/>
    <mergeCell ref="C358:C361"/>
    <mergeCell ref="B372:L372"/>
    <mergeCell ref="E358:E361"/>
    <mergeCell ref="H358:I358"/>
    <mergeCell ref="F358:F361"/>
    <mergeCell ref="K358:K361"/>
    <mergeCell ref="J358:J361"/>
    <mergeCell ref="K380:K383"/>
    <mergeCell ref="L380:L383"/>
    <mergeCell ref="C395:E395"/>
    <mergeCell ref="C391:E391"/>
    <mergeCell ref="C390:E390"/>
    <mergeCell ref="C392:E392"/>
    <mergeCell ref="C393:E393"/>
    <mergeCell ref="B331:B334"/>
    <mergeCell ref="C331:C334"/>
    <mergeCell ref="B358:B361"/>
    <mergeCell ref="B380:B383"/>
    <mergeCell ref="C380:C383"/>
    <mergeCell ref="F331:F334"/>
    <mergeCell ref="D331:D334"/>
    <mergeCell ref="F380:F383"/>
    <mergeCell ref="G380:G383"/>
    <mergeCell ref="D380:D383"/>
    <mergeCell ref="E380:E383"/>
    <mergeCell ref="D358:D361"/>
    <mergeCell ref="G358:G361"/>
    <mergeCell ref="J380:J383"/>
    <mergeCell ref="H373:I373"/>
    <mergeCell ref="H374:I374"/>
    <mergeCell ref="H376:I376"/>
    <mergeCell ref="H377:I377"/>
    <mergeCell ref="H378:I378"/>
    <mergeCell ref="H379:I379"/>
    <mergeCell ref="H380:I380"/>
  </mergeCells>
  <printOptions/>
  <pageMargins left="0.6692913385826772" right="0.1968503937007874" top="0.3937007874015748" bottom="0.11811023622047245" header="0.2755905511811024" footer="0.3"/>
  <pageSetup horizontalDpi="600" verticalDpi="600" orientation="landscape" paperSize="9" scale="59" r:id="rId3"/>
  <rowBreaks count="10" manualBreakCount="10">
    <brk id="51" max="11" man="1"/>
    <brk id="103" max="11" man="1"/>
    <brk id="147" max="11" man="1"/>
    <brk id="179" max="11" man="1"/>
    <brk id="210" max="11" man="1"/>
    <brk id="251" max="11" man="1"/>
    <brk id="290" max="11" man="1"/>
    <brk id="321" max="11" man="1"/>
    <brk id="351" max="11" man="1"/>
    <brk id="402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T20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24.8515625" style="0" customWidth="1"/>
    <col min="5" max="5" width="10.140625" style="0" customWidth="1"/>
    <col min="8" max="8" width="8.421875" style="0" customWidth="1"/>
    <col min="9" max="9" width="7.8515625" style="0" hidden="1" customWidth="1"/>
    <col min="12" max="12" width="10.140625" style="0" customWidth="1"/>
    <col min="13" max="13" width="7.421875" style="0" customWidth="1"/>
    <col min="16" max="16" width="0.13671875" style="0" customWidth="1"/>
    <col min="17" max="18" width="10.28125" style="0" customWidth="1"/>
    <col min="19" max="19" width="14.28125" style="0" hidden="1" customWidth="1"/>
  </cols>
  <sheetData>
    <row r="1" spans="2:19" ht="18.75" customHeight="1">
      <c r="B1" s="112"/>
      <c r="N1" s="5" t="s">
        <v>233</v>
      </c>
      <c r="O1" s="5"/>
      <c r="P1" s="5"/>
      <c r="Q1" s="393" t="s">
        <v>245</v>
      </c>
      <c r="R1" s="393"/>
      <c r="S1" s="64"/>
    </row>
    <row r="2" spans="2:20" ht="18.75" customHeight="1">
      <c r="B2" s="5"/>
      <c r="C2" s="5"/>
      <c r="D2" s="5"/>
      <c r="N2" s="5" t="s">
        <v>248</v>
      </c>
      <c r="O2" s="278" t="s">
        <v>246</v>
      </c>
      <c r="P2" s="9"/>
      <c r="Q2" s="9" t="s">
        <v>247</v>
      </c>
      <c r="R2" s="9"/>
      <c r="S2" s="9"/>
      <c r="T2" s="1"/>
    </row>
    <row r="3" spans="2:20" ht="18.75" customHeight="1">
      <c r="B3" s="5"/>
      <c r="C3" s="5"/>
      <c r="D3" s="5"/>
      <c r="N3" s="5" t="s">
        <v>232</v>
      </c>
      <c r="O3" s="5"/>
      <c r="P3" s="9"/>
      <c r="Q3" s="9"/>
      <c r="R3" s="9"/>
      <c r="S3" s="9"/>
      <c r="T3" s="8"/>
    </row>
    <row r="4" spans="2:20" ht="18.75" customHeight="1">
      <c r="B4" s="5"/>
      <c r="C4" s="5"/>
      <c r="D4" s="5"/>
      <c r="N4" s="278" t="s">
        <v>249</v>
      </c>
      <c r="O4" s="5"/>
      <c r="P4" s="9"/>
      <c r="Q4" s="9"/>
      <c r="R4" s="9"/>
      <c r="S4" s="9"/>
      <c r="T4" s="8"/>
    </row>
    <row r="5" spans="2:20" ht="18.75">
      <c r="B5" s="112"/>
      <c r="C5" s="112"/>
      <c r="D5" s="112"/>
      <c r="N5" s="410" t="s">
        <v>250</v>
      </c>
      <c r="O5" s="411"/>
      <c r="P5" s="411"/>
      <c r="Q5" s="411"/>
      <c r="R5" s="1"/>
      <c r="S5" s="1"/>
      <c r="T5" s="1"/>
    </row>
    <row r="6" spans="2:20" ht="18.75">
      <c r="B6" s="16"/>
      <c r="C6" s="112"/>
      <c r="D6" s="112"/>
      <c r="N6" s="274"/>
      <c r="O6" s="274"/>
      <c r="P6" s="1"/>
      <c r="Q6" s="9"/>
      <c r="R6" s="1"/>
      <c r="S6" s="1"/>
      <c r="T6" s="1"/>
    </row>
    <row r="7" spans="2:18" ht="18.75">
      <c r="B7" s="416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417"/>
    </row>
    <row r="8" spans="2:18" ht="18.75">
      <c r="B8" s="418" t="s">
        <v>243</v>
      </c>
      <c r="C8" s="419"/>
      <c r="D8" s="419"/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</row>
    <row r="9" ht="19.5" thickBot="1">
      <c r="B9" s="7"/>
    </row>
    <row r="10" spans="2:18" ht="30.75" customHeight="1" thickBot="1">
      <c r="B10" s="395"/>
      <c r="C10" s="395" t="s">
        <v>37</v>
      </c>
      <c r="D10" s="399" t="s">
        <v>230</v>
      </c>
      <c r="E10" s="412"/>
      <c r="F10" s="412"/>
      <c r="G10" s="415"/>
      <c r="H10" s="399" t="s">
        <v>231</v>
      </c>
      <c r="I10" s="412"/>
      <c r="J10" s="412"/>
      <c r="K10" s="412"/>
      <c r="L10" s="412"/>
      <c r="M10" s="412"/>
      <c r="N10" s="399" t="s">
        <v>227</v>
      </c>
      <c r="O10" s="400"/>
      <c r="P10" s="66"/>
      <c r="Q10" s="413" t="s">
        <v>228</v>
      </c>
      <c r="R10" s="414"/>
    </row>
    <row r="11" spans="2:18" ht="48" thickBot="1">
      <c r="B11" s="396"/>
      <c r="C11" s="396"/>
      <c r="D11" s="4" t="s">
        <v>111</v>
      </c>
      <c r="E11" s="2" t="s">
        <v>112</v>
      </c>
      <c r="F11" s="2" t="s">
        <v>102</v>
      </c>
      <c r="G11" s="2" t="s">
        <v>128</v>
      </c>
      <c r="H11" s="4" t="s">
        <v>105</v>
      </c>
      <c r="I11" s="4" t="s">
        <v>106</v>
      </c>
      <c r="J11" s="4" t="s">
        <v>107</v>
      </c>
      <c r="K11" s="4" t="s">
        <v>108</v>
      </c>
      <c r="L11" s="4" t="s">
        <v>109</v>
      </c>
      <c r="M11" s="65" t="s">
        <v>110</v>
      </c>
      <c r="N11" s="4" t="s">
        <v>113</v>
      </c>
      <c r="O11" s="3" t="s">
        <v>114</v>
      </c>
      <c r="P11" s="67"/>
      <c r="Q11" s="397" t="s">
        <v>229</v>
      </c>
      <c r="R11" s="398"/>
    </row>
    <row r="12" spans="2:18" ht="34.5" customHeight="1" thickBot="1">
      <c r="B12" s="2" t="s">
        <v>224</v>
      </c>
      <c r="C12" s="3">
        <v>110</v>
      </c>
      <c r="D12" s="3">
        <v>2</v>
      </c>
      <c r="E12" s="3">
        <v>3</v>
      </c>
      <c r="F12" s="3">
        <v>4</v>
      </c>
      <c r="G12" s="3">
        <v>3</v>
      </c>
      <c r="H12" s="3">
        <v>2</v>
      </c>
      <c r="I12" s="3">
        <v>0</v>
      </c>
      <c r="J12" s="3">
        <v>1</v>
      </c>
      <c r="K12" s="3">
        <v>2</v>
      </c>
      <c r="L12" s="3">
        <v>1</v>
      </c>
      <c r="M12" s="3">
        <v>1</v>
      </c>
      <c r="N12" s="4">
        <v>81</v>
      </c>
      <c r="O12" s="3">
        <v>4</v>
      </c>
      <c r="P12" s="67"/>
      <c r="Q12" s="399">
        <v>6</v>
      </c>
      <c r="R12" s="400"/>
    </row>
    <row r="13" spans="2:18" ht="24.75" customHeight="1">
      <c r="B13" s="407" t="s">
        <v>121</v>
      </c>
      <c r="C13" s="395"/>
      <c r="D13" s="395"/>
      <c r="E13" s="395"/>
      <c r="F13" s="395"/>
      <c r="G13" s="62"/>
      <c r="H13" s="395"/>
      <c r="I13" s="395"/>
      <c r="J13" s="395"/>
      <c r="K13" s="395"/>
      <c r="L13" s="395"/>
      <c r="M13" s="395"/>
      <c r="N13" s="395"/>
      <c r="O13" s="395"/>
      <c r="P13" s="401"/>
      <c r="Q13" s="401"/>
      <c r="R13" s="402"/>
    </row>
    <row r="14" spans="2:18" ht="13.5" customHeight="1" thickBot="1">
      <c r="B14" s="408"/>
      <c r="C14" s="396"/>
      <c r="D14" s="409"/>
      <c r="E14" s="396"/>
      <c r="F14" s="396"/>
      <c r="G14" s="4"/>
      <c r="H14" s="396"/>
      <c r="I14" s="396"/>
      <c r="J14" s="396"/>
      <c r="K14" s="409"/>
      <c r="L14" s="409"/>
      <c r="M14" s="396"/>
      <c r="N14" s="396"/>
      <c r="O14" s="396"/>
      <c r="P14" s="403"/>
      <c r="Q14" s="403"/>
      <c r="R14" s="404"/>
    </row>
    <row r="15" spans="2:18" ht="22.5" customHeight="1" thickBot="1">
      <c r="B15" s="2" t="s">
        <v>15</v>
      </c>
      <c r="C15" s="3">
        <f aca="true" t="shared" si="0" ref="C15:M15">C12</f>
        <v>110</v>
      </c>
      <c r="D15" s="3">
        <f>D12</f>
        <v>2</v>
      </c>
      <c r="E15" s="3">
        <f>E12</f>
        <v>3</v>
      </c>
      <c r="F15" s="3">
        <f>F12</f>
        <v>4</v>
      </c>
      <c r="G15" s="3">
        <f>G12</f>
        <v>3</v>
      </c>
      <c r="H15" s="3">
        <f t="shared" si="0"/>
        <v>2</v>
      </c>
      <c r="I15" s="3">
        <f t="shared" si="0"/>
        <v>0</v>
      </c>
      <c r="J15" s="3">
        <f t="shared" si="0"/>
        <v>1</v>
      </c>
      <c r="K15" s="3">
        <f t="shared" si="0"/>
        <v>2</v>
      </c>
      <c r="L15" s="3">
        <f t="shared" si="0"/>
        <v>1</v>
      </c>
      <c r="M15" s="3">
        <f t="shared" si="0"/>
        <v>1</v>
      </c>
      <c r="N15" s="73">
        <f>N12</f>
        <v>81</v>
      </c>
      <c r="O15" s="74">
        <f>O12</f>
        <v>4</v>
      </c>
      <c r="P15" s="67"/>
      <c r="Q15" s="405">
        <v>6</v>
      </c>
      <c r="R15" s="406"/>
    </row>
    <row r="16" ht="18.75">
      <c r="B16" s="7"/>
    </row>
    <row r="17" ht="18.75">
      <c r="B17" s="7"/>
    </row>
    <row r="18" spans="2:17" ht="18.75">
      <c r="B18" s="5" t="s">
        <v>129</v>
      </c>
      <c r="C18" s="111"/>
      <c r="D18" s="277"/>
      <c r="E18" s="112"/>
      <c r="F18" s="277"/>
      <c r="G18" s="277"/>
      <c r="H18" s="277"/>
      <c r="I18" s="277"/>
      <c r="J18" s="277"/>
      <c r="K18" s="277"/>
      <c r="L18" s="277"/>
      <c r="M18" s="277"/>
      <c r="N18" s="5" t="s">
        <v>236</v>
      </c>
      <c r="O18" s="111"/>
      <c r="P18" s="111"/>
      <c r="Q18" s="111"/>
    </row>
    <row r="19" ht="18" customHeight="1"/>
    <row r="20" spans="2:15" ht="18.75">
      <c r="B20" s="5" t="s">
        <v>251</v>
      </c>
      <c r="N20" s="393" t="s">
        <v>252</v>
      </c>
      <c r="O20" s="394"/>
    </row>
  </sheetData>
  <sheetProtection/>
  <mergeCells count="29">
    <mergeCell ref="B7:R7"/>
    <mergeCell ref="B8:R8"/>
    <mergeCell ref="I13:I14"/>
    <mergeCell ref="J13:J14"/>
    <mergeCell ref="M13:M14"/>
    <mergeCell ref="N10:O10"/>
    <mergeCell ref="D10:G10"/>
    <mergeCell ref="B10:B11"/>
    <mergeCell ref="C10:C11"/>
    <mergeCell ref="B13:B14"/>
    <mergeCell ref="D13:D14"/>
    <mergeCell ref="K13:K14"/>
    <mergeCell ref="L13:L14"/>
    <mergeCell ref="Q1:R1"/>
    <mergeCell ref="N5:Q5"/>
    <mergeCell ref="H10:M10"/>
    <mergeCell ref="P13:P14"/>
    <mergeCell ref="Q10:R10"/>
    <mergeCell ref="O13:O14"/>
    <mergeCell ref="N20:O20"/>
    <mergeCell ref="C13:C14"/>
    <mergeCell ref="E13:E14"/>
    <mergeCell ref="Q11:R11"/>
    <mergeCell ref="Q12:R12"/>
    <mergeCell ref="Q13:R14"/>
    <mergeCell ref="Q15:R15"/>
    <mergeCell ref="F13:F14"/>
    <mergeCell ref="H13:H14"/>
    <mergeCell ref="N13:N1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SheetLayoutView="100" zoomScalePageLayoutView="0" workbookViewId="0" topLeftCell="A1">
      <selection activeCell="I2" sqref="I2"/>
    </sheetView>
  </sheetViews>
  <sheetFormatPr defaultColWidth="9.140625" defaultRowHeight="12.75"/>
  <cols>
    <col min="1" max="1" width="28.8515625" style="0" customWidth="1"/>
    <col min="2" max="2" width="12.7109375" style="0" customWidth="1"/>
    <col min="3" max="3" width="10.7109375" style="0" customWidth="1"/>
    <col min="4" max="4" width="11.28125" style="0" customWidth="1"/>
    <col min="5" max="5" width="15.28125" style="0" customWidth="1"/>
    <col min="6" max="6" width="14.8515625" style="0" customWidth="1"/>
    <col min="7" max="7" width="23.00390625" style="0" customWidth="1"/>
    <col min="9" max="9" width="17.140625" style="0" customWidth="1"/>
    <col min="10" max="10" width="42.28125" style="0" customWidth="1"/>
  </cols>
  <sheetData>
    <row r="1" spans="1:11" ht="15.75">
      <c r="A1" s="17"/>
      <c r="B1" s="13"/>
      <c r="C1" s="13"/>
      <c r="D1" s="13"/>
      <c r="E1" s="13"/>
      <c r="F1" s="13"/>
      <c r="G1" s="16" t="s">
        <v>233</v>
      </c>
      <c r="H1" s="16" t="s">
        <v>245</v>
      </c>
      <c r="I1" s="13"/>
      <c r="J1" s="14"/>
      <c r="K1" s="13"/>
    </row>
    <row r="2" spans="1:11" ht="18" customHeight="1">
      <c r="A2" s="16" t="s">
        <v>240</v>
      </c>
      <c r="B2" s="13"/>
      <c r="C2" s="13"/>
      <c r="D2" s="13"/>
      <c r="E2" s="13"/>
      <c r="F2" s="13"/>
      <c r="G2" s="16" t="s">
        <v>254</v>
      </c>
      <c r="H2" s="16"/>
      <c r="I2" s="16"/>
      <c r="J2" s="14"/>
      <c r="K2" s="13"/>
    </row>
    <row r="3" spans="1:11" ht="17.25" customHeight="1">
      <c r="A3" s="16" t="s">
        <v>242</v>
      </c>
      <c r="B3" s="13"/>
      <c r="C3" s="13"/>
      <c r="D3" s="13"/>
      <c r="E3" s="13"/>
      <c r="F3" s="13"/>
      <c r="G3" s="16" t="s">
        <v>232</v>
      </c>
      <c r="H3" s="16"/>
      <c r="I3" s="16"/>
      <c r="J3" s="14"/>
      <c r="K3" s="13"/>
    </row>
    <row r="4" spans="1:11" ht="15.75">
      <c r="A4" s="16" t="s">
        <v>241</v>
      </c>
      <c r="B4" s="13"/>
      <c r="C4" s="13"/>
      <c r="D4" s="13"/>
      <c r="E4" s="13"/>
      <c r="F4" s="13"/>
      <c r="G4" s="16" t="s">
        <v>249</v>
      </c>
      <c r="H4" s="16"/>
      <c r="I4" s="16"/>
      <c r="J4" s="14"/>
      <c r="K4" s="13"/>
    </row>
    <row r="5" spans="1:11" ht="15.75">
      <c r="A5" s="16"/>
      <c r="B5" s="13"/>
      <c r="C5" s="13"/>
      <c r="D5" s="13"/>
      <c r="E5" s="13"/>
      <c r="F5" s="13"/>
      <c r="G5" s="59" t="s">
        <v>255</v>
      </c>
      <c r="H5" s="281"/>
      <c r="I5" s="16"/>
      <c r="J5" s="14"/>
      <c r="K5" s="13"/>
    </row>
    <row r="6" spans="1:11" ht="15.75">
      <c r="A6" s="16"/>
      <c r="B6" s="13"/>
      <c r="C6" s="13"/>
      <c r="D6" s="13"/>
      <c r="E6" s="13"/>
      <c r="F6" s="13"/>
      <c r="G6" s="271"/>
      <c r="H6" s="271"/>
      <c r="I6" s="16"/>
      <c r="J6" s="14"/>
      <c r="K6" s="13"/>
    </row>
    <row r="7" spans="1:11" ht="15.75">
      <c r="A7" s="16"/>
      <c r="B7" s="32"/>
      <c r="C7" s="13"/>
      <c r="D7" s="13"/>
      <c r="E7" s="13"/>
      <c r="F7" s="13"/>
      <c r="G7" s="20"/>
      <c r="H7" s="16"/>
      <c r="I7" s="16"/>
      <c r="J7" s="14"/>
      <c r="K7" s="13"/>
    </row>
    <row r="8" spans="1:11" ht="15.75">
      <c r="A8" s="16"/>
      <c r="B8" s="13"/>
      <c r="C8" s="13"/>
      <c r="D8" s="13"/>
      <c r="E8" s="13"/>
      <c r="F8" s="13"/>
      <c r="G8" s="20"/>
      <c r="H8" s="16"/>
      <c r="I8" s="16"/>
      <c r="J8" s="14"/>
      <c r="K8" s="13"/>
    </row>
    <row r="9" spans="1:11" ht="15.75">
      <c r="A9" s="16"/>
      <c r="B9" s="13"/>
      <c r="C9" s="13"/>
      <c r="D9" s="13"/>
      <c r="E9" s="13"/>
      <c r="F9" s="13"/>
      <c r="G9" s="20"/>
      <c r="H9" s="16"/>
      <c r="I9" s="16"/>
      <c r="J9" s="14"/>
      <c r="K9" s="13"/>
    </row>
    <row r="10" spans="1:11" ht="15.75">
      <c r="A10" s="16"/>
      <c r="B10" s="16"/>
      <c r="C10" s="16"/>
      <c r="D10" s="17"/>
      <c r="E10" s="16"/>
      <c r="F10" s="16"/>
      <c r="G10" s="16"/>
      <c r="H10" s="16"/>
      <c r="I10" s="16"/>
      <c r="J10" s="14"/>
      <c r="K10" s="13"/>
    </row>
    <row r="11" spans="1:11" ht="16.5" customHeight="1" thickBot="1">
      <c r="A11" s="440" t="s">
        <v>234</v>
      </c>
      <c r="B11" s="440"/>
      <c r="C11" s="440"/>
      <c r="D11" s="440"/>
      <c r="E11" s="440"/>
      <c r="F11" s="440"/>
      <c r="G11" s="440"/>
      <c r="H11" s="440"/>
      <c r="I11" s="440"/>
      <c r="J11" s="14"/>
      <c r="K11" s="13"/>
    </row>
    <row r="12" spans="1:11" ht="15.75">
      <c r="A12" s="49"/>
      <c r="B12" s="422" t="s">
        <v>2</v>
      </c>
      <c r="C12" s="425" t="s">
        <v>3</v>
      </c>
      <c r="D12" s="426"/>
      <c r="E12" s="425" t="s">
        <v>4</v>
      </c>
      <c r="F12" s="426"/>
      <c r="G12" s="431" t="s">
        <v>82</v>
      </c>
      <c r="H12" s="431" t="s">
        <v>120</v>
      </c>
      <c r="I12" s="441"/>
      <c r="J12" s="14"/>
      <c r="K12" s="13"/>
    </row>
    <row r="13" spans="1:11" ht="15.75">
      <c r="A13" s="50" t="s">
        <v>91</v>
      </c>
      <c r="B13" s="423"/>
      <c r="C13" s="427"/>
      <c r="D13" s="428"/>
      <c r="E13" s="427"/>
      <c r="F13" s="428"/>
      <c r="G13" s="432"/>
      <c r="H13" s="432"/>
      <c r="I13" s="442"/>
      <c r="J13" s="14"/>
      <c r="K13" s="13"/>
    </row>
    <row r="14" spans="1:11" ht="16.5" thickBot="1">
      <c r="A14" s="51" t="s">
        <v>92</v>
      </c>
      <c r="B14" s="424"/>
      <c r="C14" s="429"/>
      <c r="D14" s="430"/>
      <c r="E14" s="429"/>
      <c r="F14" s="430"/>
      <c r="G14" s="433"/>
      <c r="H14" s="433"/>
      <c r="I14" s="443"/>
      <c r="J14" s="14"/>
      <c r="K14" s="13"/>
    </row>
    <row r="15" spans="1:11" ht="16.5" thickBot="1">
      <c r="A15" s="52">
        <v>1</v>
      </c>
      <c r="B15" s="53">
        <v>2</v>
      </c>
      <c r="C15" s="444">
        <v>3</v>
      </c>
      <c r="D15" s="445"/>
      <c r="E15" s="444">
        <v>4</v>
      </c>
      <c r="F15" s="445"/>
      <c r="G15" s="193">
        <v>5</v>
      </c>
      <c r="H15" s="431">
        <v>6</v>
      </c>
      <c r="I15" s="441"/>
      <c r="J15" s="14"/>
      <c r="K15" s="13"/>
    </row>
    <row r="16" spans="1:11" ht="16.5" thickBot="1">
      <c r="A16" s="2" t="s">
        <v>93</v>
      </c>
      <c r="B16" s="3">
        <v>1</v>
      </c>
      <c r="C16" s="399">
        <v>10</v>
      </c>
      <c r="D16" s="400"/>
      <c r="E16" s="420">
        <v>4859</v>
      </c>
      <c r="F16" s="421"/>
      <c r="G16" s="272"/>
      <c r="H16" s="438">
        <f>E16</f>
        <v>4859</v>
      </c>
      <c r="I16" s="439"/>
      <c r="J16" s="14"/>
      <c r="K16" s="13"/>
    </row>
    <row r="17" spans="1:11" ht="32.25" thickBot="1">
      <c r="A17" s="2" t="s">
        <v>145</v>
      </c>
      <c r="B17" s="3">
        <v>1</v>
      </c>
      <c r="C17" s="399">
        <v>6</v>
      </c>
      <c r="D17" s="400"/>
      <c r="E17" s="420">
        <v>3872</v>
      </c>
      <c r="F17" s="421"/>
      <c r="G17" s="272"/>
      <c r="H17" s="438">
        <f>E17</f>
        <v>3872</v>
      </c>
      <c r="I17" s="439"/>
      <c r="J17" s="14"/>
      <c r="K17" s="13"/>
    </row>
    <row r="18" spans="1:11" ht="48" thickBot="1">
      <c r="A18" s="27" t="s">
        <v>146</v>
      </c>
      <c r="B18" s="3">
        <v>1</v>
      </c>
      <c r="C18" s="399">
        <v>3</v>
      </c>
      <c r="D18" s="400"/>
      <c r="E18" s="420">
        <v>3151</v>
      </c>
      <c r="F18" s="421"/>
      <c r="G18" s="272"/>
      <c r="H18" s="438">
        <f>E18</f>
        <v>3151</v>
      </c>
      <c r="I18" s="439"/>
      <c r="J18" s="14"/>
      <c r="K18" s="13"/>
    </row>
    <row r="19" spans="1:11" ht="16.5" thickBot="1">
      <c r="A19" s="2" t="s">
        <v>94</v>
      </c>
      <c r="B19" s="53">
        <f>SUM(B16:B18)</f>
        <v>3</v>
      </c>
      <c r="C19" s="399"/>
      <c r="D19" s="400"/>
      <c r="E19" s="434">
        <f>SUM(E16:F18)</f>
        <v>11882</v>
      </c>
      <c r="F19" s="435"/>
      <c r="G19" s="273"/>
      <c r="H19" s="436">
        <f>SUM(H16:I18)</f>
        <v>11882</v>
      </c>
      <c r="I19" s="437"/>
      <c r="J19" s="14"/>
      <c r="K19" s="13"/>
    </row>
    <row r="20" spans="1:11" ht="15.75">
      <c r="A20" s="17"/>
      <c r="B20" s="16"/>
      <c r="C20" s="16"/>
      <c r="D20" s="16"/>
      <c r="E20" s="16"/>
      <c r="F20" s="16"/>
      <c r="G20" s="16"/>
      <c r="H20" s="16"/>
      <c r="I20" s="16"/>
      <c r="J20" s="14"/>
      <c r="K20" s="13"/>
    </row>
    <row r="21" spans="1:11" ht="15.75">
      <c r="A21" s="16"/>
      <c r="B21" s="17" t="s">
        <v>95</v>
      </c>
      <c r="C21" s="16"/>
      <c r="D21" s="16"/>
      <c r="E21" s="16"/>
      <c r="F21" s="16"/>
      <c r="G21" s="16"/>
      <c r="H21" s="16"/>
      <c r="I21" s="16"/>
      <c r="J21" s="14"/>
      <c r="K21" s="13"/>
    </row>
    <row r="22" spans="1:11" ht="15.75">
      <c r="A22" s="17" t="s">
        <v>97</v>
      </c>
      <c r="B22" s="17" t="s">
        <v>96</v>
      </c>
      <c r="C22" s="16"/>
      <c r="D22" s="16"/>
      <c r="E22" s="16"/>
      <c r="F22" s="16"/>
      <c r="G22" s="16"/>
      <c r="H22" s="16"/>
      <c r="I22" s="16"/>
      <c r="J22" s="14"/>
      <c r="K22" s="13"/>
    </row>
    <row r="23" spans="1:11" ht="15.75">
      <c r="A23" s="16"/>
      <c r="B23" s="17" t="s">
        <v>98</v>
      </c>
      <c r="C23" s="16"/>
      <c r="D23" s="16"/>
      <c r="E23" s="16"/>
      <c r="F23" s="16"/>
      <c r="G23" s="16"/>
      <c r="H23" s="16"/>
      <c r="I23" s="16"/>
      <c r="J23" s="14"/>
      <c r="K23" s="13"/>
    </row>
    <row r="24" spans="1:11" ht="15.75">
      <c r="A24" s="16"/>
      <c r="B24" s="17"/>
      <c r="C24" s="16"/>
      <c r="D24" s="16"/>
      <c r="E24" s="16"/>
      <c r="F24" s="17"/>
      <c r="G24" s="17"/>
      <c r="H24" s="16"/>
      <c r="I24" s="16"/>
      <c r="J24" s="14"/>
      <c r="K24" s="13"/>
    </row>
    <row r="25" spans="1:11" ht="18.75">
      <c r="A25" s="16" t="s">
        <v>129</v>
      </c>
      <c r="B25" s="276"/>
      <c r="C25" s="276"/>
      <c r="D25" s="112"/>
      <c r="E25" s="276"/>
      <c r="F25" s="59" t="s">
        <v>236</v>
      </c>
      <c r="G25" s="282"/>
      <c r="H25" s="16"/>
      <c r="I25" s="16"/>
      <c r="J25" s="14"/>
      <c r="K25" s="13"/>
    </row>
    <row r="26" spans="1:11" ht="15.75">
      <c r="A26" s="276"/>
      <c r="B26" s="276"/>
      <c r="C26" s="276"/>
      <c r="D26" s="276"/>
      <c r="E26" s="276"/>
      <c r="F26" s="276"/>
      <c r="G26" s="276"/>
      <c r="H26" s="16"/>
      <c r="I26" s="16"/>
      <c r="J26" s="14"/>
      <c r="K26" s="13"/>
    </row>
    <row r="27" spans="1:11" ht="18">
      <c r="A27" s="16" t="s">
        <v>40</v>
      </c>
      <c r="B27" s="17"/>
      <c r="C27" s="17"/>
      <c r="D27" s="17"/>
      <c r="E27" s="17"/>
      <c r="F27" s="16" t="s">
        <v>244</v>
      </c>
      <c r="G27" s="277"/>
      <c r="H27" s="13"/>
      <c r="I27" s="13"/>
      <c r="J27" s="14"/>
      <c r="K27" s="13"/>
    </row>
    <row r="29" spans="1:6" ht="18" customHeight="1">
      <c r="A29" s="16" t="s">
        <v>251</v>
      </c>
      <c r="F29" s="16" t="s">
        <v>252</v>
      </c>
    </row>
  </sheetData>
  <sheetProtection/>
  <mergeCells count="21">
    <mergeCell ref="A11:I11"/>
    <mergeCell ref="C18:D18"/>
    <mergeCell ref="E18:F18"/>
    <mergeCell ref="H18:I18"/>
    <mergeCell ref="H12:I14"/>
    <mergeCell ref="C15:D15"/>
    <mergeCell ref="E15:F15"/>
    <mergeCell ref="H15:I15"/>
    <mergeCell ref="H19:I19"/>
    <mergeCell ref="C16:D16"/>
    <mergeCell ref="E16:F16"/>
    <mergeCell ref="H16:I16"/>
    <mergeCell ref="C17:D17"/>
    <mergeCell ref="C12:D14"/>
    <mergeCell ref="H17:I17"/>
    <mergeCell ref="E17:F17"/>
    <mergeCell ref="B12:B14"/>
    <mergeCell ref="E12:F14"/>
    <mergeCell ref="G12:G14"/>
    <mergeCell ref="C19:D19"/>
    <mergeCell ref="E19:F19"/>
  </mergeCells>
  <printOptions/>
  <pageMargins left="0.75" right="0.75" top="0.35" bottom="0.14" header="0.5" footer="0.13"/>
  <pageSetup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view="pageBreakPreview" zoomScaleSheetLayoutView="100" zoomScalePageLayoutView="0" workbookViewId="0" topLeftCell="A1">
      <selection activeCell="F49" sqref="F49"/>
    </sheetView>
  </sheetViews>
  <sheetFormatPr defaultColWidth="9.140625" defaultRowHeight="12.75"/>
  <cols>
    <col min="1" max="1" width="53.28125" style="0" customWidth="1"/>
    <col min="2" max="2" width="12.7109375" style="0" customWidth="1"/>
    <col min="3" max="3" width="10.7109375" style="0" customWidth="1"/>
    <col min="4" max="4" width="12.57421875" style="0" customWidth="1"/>
    <col min="5" max="5" width="15.28125" style="0" customWidth="1"/>
    <col min="6" max="6" width="14.8515625" style="0" customWidth="1"/>
    <col min="7" max="7" width="23.00390625" style="0" customWidth="1"/>
    <col min="8" max="8" width="7.28125" style="0" customWidth="1"/>
    <col min="11" max="11" width="42.28125" style="0" customWidth="1"/>
  </cols>
  <sheetData>
    <row r="1" spans="1:12" ht="18" customHeight="1">
      <c r="A1" s="17"/>
      <c r="B1" s="15"/>
      <c r="C1" s="15"/>
      <c r="D1" s="15"/>
      <c r="E1" s="15"/>
      <c r="F1" s="16" t="s">
        <v>253</v>
      </c>
      <c r="G1" s="16"/>
      <c r="H1" s="16"/>
      <c r="I1" s="5"/>
      <c r="J1" s="5"/>
      <c r="K1" s="15"/>
      <c r="L1" s="15"/>
    </row>
    <row r="2" spans="1:13" ht="18.75">
      <c r="A2" s="20" t="s">
        <v>167</v>
      </c>
      <c r="C2" s="13"/>
      <c r="D2" s="13"/>
      <c r="F2" s="16" t="s">
        <v>254</v>
      </c>
      <c r="G2" s="16"/>
      <c r="H2" s="271"/>
      <c r="I2" s="9"/>
      <c r="J2" s="9"/>
      <c r="K2" s="13"/>
      <c r="L2" s="13"/>
      <c r="M2" s="13"/>
    </row>
    <row r="3" spans="1:13" ht="18.75">
      <c r="A3" s="20" t="s">
        <v>211</v>
      </c>
      <c r="C3" s="20"/>
      <c r="D3" s="20"/>
      <c r="F3" s="16" t="s">
        <v>232</v>
      </c>
      <c r="G3" s="16"/>
      <c r="H3" s="271"/>
      <c r="I3" s="9"/>
      <c r="J3" s="9"/>
      <c r="L3" s="13"/>
      <c r="M3" s="13"/>
    </row>
    <row r="4" spans="1:13" ht="18.75">
      <c r="A4" s="20" t="s">
        <v>212</v>
      </c>
      <c r="C4" s="20"/>
      <c r="D4" s="20"/>
      <c r="F4" s="16" t="s">
        <v>249</v>
      </c>
      <c r="G4" s="16"/>
      <c r="H4" s="271"/>
      <c r="I4" s="9"/>
      <c r="J4" s="9"/>
      <c r="L4" s="13"/>
      <c r="M4" s="13"/>
    </row>
    <row r="5" spans="1:13" ht="18.75">
      <c r="A5" s="20"/>
      <c r="C5" s="20"/>
      <c r="D5" s="20"/>
      <c r="F5" s="59" t="s">
        <v>255</v>
      </c>
      <c r="G5" s="33"/>
      <c r="H5" s="280"/>
      <c r="I5" s="9"/>
      <c r="J5" s="1"/>
      <c r="L5" s="13"/>
      <c r="M5" s="13"/>
    </row>
    <row r="6" spans="1:13" ht="15.75">
      <c r="A6" s="20"/>
      <c r="C6" s="20"/>
      <c r="D6" s="20"/>
      <c r="F6" s="20"/>
      <c r="G6" s="20"/>
      <c r="H6" s="13"/>
      <c r="L6" s="13"/>
      <c r="M6" s="13"/>
    </row>
    <row r="7" spans="1:13" ht="15.75">
      <c r="A7" s="20"/>
      <c r="C7" s="20"/>
      <c r="D7" s="20"/>
      <c r="F7" s="20"/>
      <c r="G7" s="20"/>
      <c r="H7" s="13"/>
      <c r="L7" s="13"/>
      <c r="M7" s="13"/>
    </row>
    <row r="8" spans="1:13" ht="19.5" customHeight="1">
      <c r="A8" s="20"/>
      <c r="C8" s="20"/>
      <c r="D8" s="20"/>
      <c r="F8" s="20"/>
      <c r="G8" s="20"/>
      <c r="H8" s="13"/>
      <c r="L8" s="13"/>
      <c r="M8" s="13"/>
    </row>
    <row r="9" spans="1:13" ht="15.75">
      <c r="A9" s="20"/>
      <c r="C9" s="275"/>
      <c r="D9" s="20"/>
      <c r="F9" s="20"/>
      <c r="G9" s="20"/>
      <c r="H9" s="20"/>
      <c r="M9" s="13"/>
    </row>
    <row r="10" spans="1:7" ht="23.25" customHeight="1" thickBot="1">
      <c r="A10" s="450" t="s">
        <v>238</v>
      </c>
      <c r="B10" s="450"/>
      <c r="C10" s="450"/>
      <c r="D10" s="450"/>
      <c r="E10" s="450"/>
      <c r="F10" s="450"/>
      <c r="G10" s="450"/>
    </row>
    <row r="11" ht="0.75" customHeight="1" hidden="1" thickBot="1"/>
    <row r="12" spans="1:7" ht="38.25">
      <c r="A12" s="457" t="s">
        <v>1</v>
      </c>
      <c r="B12" s="446" t="s">
        <v>2</v>
      </c>
      <c r="C12" s="446" t="s">
        <v>3</v>
      </c>
      <c r="D12" s="446" t="s">
        <v>4</v>
      </c>
      <c r="E12" s="22" t="s">
        <v>5</v>
      </c>
      <c r="F12" s="22" t="s">
        <v>80</v>
      </c>
      <c r="G12" s="448" t="s">
        <v>81</v>
      </c>
    </row>
    <row r="13" spans="1:7" ht="38.25">
      <c r="A13" s="458"/>
      <c r="B13" s="447"/>
      <c r="C13" s="447"/>
      <c r="D13" s="447"/>
      <c r="E13" s="21" t="s">
        <v>118</v>
      </c>
      <c r="F13" s="21" t="s">
        <v>82</v>
      </c>
      <c r="G13" s="449"/>
    </row>
    <row r="14" spans="1:7" ht="12.75">
      <c r="A14" s="23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24">
        <v>7</v>
      </c>
    </row>
    <row r="15" spans="1:8" s="55" customFormat="1" ht="18" customHeight="1">
      <c r="A15" s="81" t="s">
        <v>27</v>
      </c>
      <c r="B15" s="82">
        <v>0.25</v>
      </c>
      <c r="C15" s="82">
        <v>12</v>
      </c>
      <c r="D15" s="83">
        <v>5660</v>
      </c>
      <c r="E15" s="82"/>
      <c r="F15" s="83">
        <f>(D15*B15)*30%</f>
        <v>424.5</v>
      </c>
      <c r="G15" s="84">
        <f>(D15*B15)+E15+F15</f>
        <v>1839.5</v>
      </c>
      <c r="H15" s="10"/>
    </row>
    <row r="16" spans="1:8" s="55" customFormat="1" ht="18" customHeight="1">
      <c r="A16" s="81" t="s">
        <v>23</v>
      </c>
      <c r="B16" s="82">
        <v>0.25</v>
      </c>
      <c r="C16" s="82">
        <v>12</v>
      </c>
      <c r="D16" s="83">
        <v>5660</v>
      </c>
      <c r="E16" s="82"/>
      <c r="F16" s="83">
        <f>(D16*B16)*30%</f>
        <v>424.5</v>
      </c>
      <c r="G16" s="84">
        <f>(D16*B16)+E16+F16</f>
        <v>1839.5</v>
      </c>
      <c r="H16" s="10"/>
    </row>
    <row r="17" spans="1:8" s="55" customFormat="1" ht="17.25" customHeight="1">
      <c r="A17" s="81" t="s">
        <v>34</v>
      </c>
      <c r="B17" s="82">
        <v>0.25</v>
      </c>
      <c r="C17" s="82">
        <v>11</v>
      </c>
      <c r="D17" s="83">
        <v>5260</v>
      </c>
      <c r="E17" s="82"/>
      <c r="F17" s="83">
        <f>(D17*B17)*30%</f>
        <v>394.5</v>
      </c>
      <c r="G17" s="84">
        <f>(D17*B17)+E17+F17</f>
        <v>1709.5</v>
      </c>
      <c r="H17" s="10"/>
    </row>
    <row r="18" spans="1:8" s="55" customFormat="1" ht="15.75" customHeight="1">
      <c r="A18" s="81" t="s">
        <v>163</v>
      </c>
      <c r="B18" s="85">
        <v>0.5</v>
      </c>
      <c r="C18" s="82">
        <v>10</v>
      </c>
      <c r="D18" s="83">
        <v>4859</v>
      </c>
      <c r="E18" s="82"/>
      <c r="F18" s="83"/>
      <c r="G18" s="84">
        <f>B18*D18</f>
        <v>2429.5</v>
      </c>
      <c r="H18" s="10"/>
    </row>
    <row r="19" spans="1:8" s="55" customFormat="1" ht="18" customHeight="1">
      <c r="A19" s="81" t="s">
        <v>163</v>
      </c>
      <c r="B19" s="85">
        <v>0.5</v>
      </c>
      <c r="C19" s="82">
        <v>12</v>
      </c>
      <c r="D19" s="83">
        <v>5660</v>
      </c>
      <c r="E19" s="82"/>
      <c r="F19" s="83">
        <f>(B19*D19)*30%</f>
        <v>849</v>
      </c>
      <c r="G19" s="84">
        <f>(B19*D19)+F19</f>
        <v>3679</v>
      </c>
      <c r="H19" s="10"/>
    </row>
    <row r="20" spans="1:8" s="55" customFormat="1" ht="18" customHeight="1">
      <c r="A20" s="81" t="s">
        <v>83</v>
      </c>
      <c r="B20" s="82">
        <v>0.25</v>
      </c>
      <c r="C20" s="82">
        <v>10</v>
      </c>
      <c r="D20" s="83">
        <v>4859</v>
      </c>
      <c r="E20" s="83">
        <f>(D20*B20)*15%</f>
        <v>182.2125</v>
      </c>
      <c r="F20" s="83"/>
      <c r="G20" s="84">
        <f>(D20*B20)+E20+F20</f>
        <v>1396.9625</v>
      </c>
      <c r="H20" s="10"/>
    </row>
    <row r="21" spans="1:8" s="55" customFormat="1" ht="18.75" customHeight="1">
      <c r="A21" s="86" t="s">
        <v>29</v>
      </c>
      <c r="B21" s="87">
        <v>0.25</v>
      </c>
      <c r="C21" s="87">
        <v>13</v>
      </c>
      <c r="D21" s="88">
        <v>6061</v>
      </c>
      <c r="E21" s="88"/>
      <c r="F21" s="88">
        <f>(B21*D21+E21)*30%</f>
        <v>454.575</v>
      </c>
      <c r="G21" s="89">
        <f>(D21*B21)+E21+F21</f>
        <v>1969.825</v>
      </c>
      <c r="H21" s="72"/>
    </row>
    <row r="22" spans="1:8" s="55" customFormat="1" ht="16.5" customHeight="1">
      <c r="A22" s="90" t="s">
        <v>24</v>
      </c>
      <c r="B22" s="82">
        <v>0.25</v>
      </c>
      <c r="C22" s="82">
        <v>12</v>
      </c>
      <c r="D22" s="83">
        <v>5660</v>
      </c>
      <c r="E22" s="82"/>
      <c r="F22" s="83">
        <f>(D22*B22)*10%</f>
        <v>141.5</v>
      </c>
      <c r="G22" s="84">
        <f>(D22*B22)+E22+F22</f>
        <v>1556.5</v>
      </c>
      <c r="H22" s="10"/>
    </row>
    <row r="23" spans="1:8" s="55" customFormat="1" ht="18" customHeight="1">
      <c r="A23" s="81" t="s">
        <v>21</v>
      </c>
      <c r="B23" s="82">
        <v>0.25</v>
      </c>
      <c r="C23" s="82">
        <v>13</v>
      </c>
      <c r="D23" s="83">
        <v>6061</v>
      </c>
      <c r="E23" s="82"/>
      <c r="F23" s="83">
        <f>(D23*B23)*30%</f>
        <v>454.575</v>
      </c>
      <c r="G23" s="84">
        <f>D23*0.25+F23</f>
        <v>1969.825</v>
      </c>
      <c r="H23" s="10"/>
    </row>
    <row r="24" spans="1:8" s="55" customFormat="1" ht="18.75" customHeight="1">
      <c r="A24" s="81" t="s">
        <v>20</v>
      </c>
      <c r="B24" s="82">
        <v>0.25</v>
      </c>
      <c r="C24" s="82">
        <v>11</v>
      </c>
      <c r="D24" s="83">
        <v>5260</v>
      </c>
      <c r="E24" s="82"/>
      <c r="F24" s="83"/>
      <c r="G24" s="84">
        <f>(D24*B24)+F24</f>
        <v>1315</v>
      </c>
      <c r="H24" s="10"/>
    </row>
    <row r="25" spans="1:8" s="55" customFormat="1" ht="18" customHeight="1">
      <c r="A25" s="81" t="s">
        <v>84</v>
      </c>
      <c r="B25" s="82">
        <v>0.25</v>
      </c>
      <c r="C25" s="82">
        <v>11</v>
      </c>
      <c r="D25" s="83">
        <v>5260</v>
      </c>
      <c r="E25" s="82"/>
      <c r="F25" s="83">
        <f>(D25*B25)*30%</f>
        <v>394.5</v>
      </c>
      <c r="G25" s="84">
        <f>(D25*B25)+F25</f>
        <v>1709.5</v>
      </c>
      <c r="H25" s="10"/>
    </row>
    <row r="26" spans="1:8" s="55" customFormat="1" ht="18" customHeight="1">
      <c r="A26" s="81" t="s">
        <v>206</v>
      </c>
      <c r="B26" s="82">
        <v>0.25</v>
      </c>
      <c r="C26" s="82">
        <v>12</v>
      </c>
      <c r="D26" s="83">
        <v>5660</v>
      </c>
      <c r="E26" s="82"/>
      <c r="F26" s="83">
        <f>(D26*B26)*30%</f>
        <v>424.5</v>
      </c>
      <c r="G26" s="84">
        <f>B26*D26+F26</f>
        <v>1839.5</v>
      </c>
      <c r="H26" s="10"/>
    </row>
    <row r="27" spans="1:8" s="55" customFormat="1" ht="17.25" customHeight="1">
      <c r="A27" s="81" t="s">
        <v>36</v>
      </c>
      <c r="B27" s="82">
        <v>0.25</v>
      </c>
      <c r="C27" s="82">
        <v>9</v>
      </c>
      <c r="D27" s="83">
        <v>4619</v>
      </c>
      <c r="E27" s="83">
        <f>(D27*B27)*15%</f>
        <v>173.2125</v>
      </c>
      <c r="F27" s="83">
        <f>((D27*B27)+E27)*30%</f>
        <v>398.38875</v>
      </c>
      <c r="G27" s="84">
        <f>(D27*B27)+E27+F27</f>
        <v>1726.3512500000002</v>
      </c>
      <c r="H27" s="10"/>
    </row>
    <row r="28" spans="1:8" s="55" customFormat="1" ht="20.25" customHeight="1">
      <c r="A28" s="91" t="s">
        <v>193</v>
      </c>
      <c r="B28" s="82">
        <v>0.25</v>
      </c>
      <c r="C28" s="82">
        <v>6</v>
      </c>
      <c r="D28" s="83">
        <v>3872</v>
      </c>
      <c r="E28" s="83"/>
      <c r="F28" s="83">
        <f>(B28*D28)*30%</f>
        <v>290.4</v>
      </c>
      <c r="G28" s="84">
        <f>(B28*D28)+F28</f>
        <v>1258.4</v>
      </c>
      <c r="H28" s="10"/>
    </row>
    <row r="29" spans="1:8" s="55" customFormat="1" ht="19.5" customHeight="1">
      <c r="A29" s="91" t="s">
        <v>194</v>
      </c>
      <c r="B29" s="82">
        <v>0.25</v>
      </c>
      <c r="C29" s="82">
        <v>6</v>
      </c>
      <c r="D29" s="83">
        <v>3872</v>
      </c>
      <c r="E29" s="83"/>
      <c r="F29" s="83">
        <f>(B29*D29)*30%</f>
        <v>290.4</v>
      </c>
      <c r="G29" s="84">
        <f>(D29*B29)+E29+F29</f>
        <v>1258.4</v>
      </c>
      <c r="H29" s="10"/>
    </row>
    <row r="30" spans="1:8" s="55" customFormat="1" ht="18" customHeight="1">
      <c r="A30" s="91" t="s">
        <v>189</v>
      </c>
      <c r="B30" s="82">
        <v>0.25</v>
      </c>
      <c r="C30" s="82">
        <v>9</v>
      </c>
      <c r="D30" s="83">
        <v>4619</v>
      </c>
      <c r="E30" s="83"/>
      <c r="F30" s="83">
        <f>(D30*B30)*30%</f>
        <v>346.425</v>
      </c>
      <c r="G30" s="84">
        <f>(D30*B30)+E30+F30</f>
        <v>1501.175</v>
      </c>
      <c r="H30" s="10"/>
    </row>
    <row r="31" spans="1:8" s="55" customFormat="1" ht="20.25" customHeight="1">
      <c r="A31" s="92" t="s">
        <v>195</v>
      </c>
      <c r="B31" s="82">
        <v>0.25</v>
      </c>
      <c r="C31" s="82">
        <v>9</v>
      </c>
      <c r="D31" s="83">
        <v>4619</v>
      </c>
      <c r="E31" s="83"/>
      <c r="F31" s="83">
        <f>((B31*D31)+E31)*30%</f>
        <v>346.425</v>
      </c>
      <c r="G31" s="84">
        <f>(B31*D31)+E31+F31</f>
        <v>1501.175</v>
      </c>
      <c r="H31" s="10"/>
    </row>
    <row r="32" spans="1:8" s="55" customFormat="1" ht="30" customHeight="1">
      <c r="A32" s="92" t="s">
        <v>196</v>
      </c>
      <c r="B32" s="82">
        <v>0.25</v>
      </c>
      <c r="C32" s="82">
        <v>6</v>
      </c>
      <c r="D32" s="83">
        <v>3872</v>
      </c>
      <c r="E32" s="83"/>
      <c r="F32" s="83">
        <f>(D32*B32)*20%</f>
        <v>193.60000000000002</v>
      </c>
      <c r="G32" s="84">
        <f>(D32*B32)+E32+F32</f>
        <v>1161.6</v>
      </c>
      <c r="H32" s="10"/>
    </row>
    <row r="33" spans="1:8" s="55" customFormat="1" ht="28.5" customHeight="1">
      <c r="A33" s="93" t="s">
        <v>151</v>
      </c>
      <c r="B33" s="94">
        <v>0.25</v>
      </c>
      <c r="C33" s="94">
        <v>8</v>
      </c>
      <c r="D33" s="95">
        <v>4379</v>
      </c>
      <c r="E33" s="95"/>
      <c r="F33" s="95">
        <f>(D33*B33)*20%</f>
        <v>218.95000000000002</v>
      </c>
      <c r="G33" s="96">
        <f>(D33*B33)+E33+F33</f>
        <v>1313.7</v>
      </c>
      <c r="H33" s="10"/>
    </row>
    <row r="34" spans="1:8" s="55" customFormat="1" ht="21.75" customHeight="1">
      <c r="A34" s="97" t="s">
        <v>145</v>
      </c>
      <c r="B34" s="82">
        <v>0.25</v>
      </c>
      <c r="C34" s="82">
        <v>6</v>
      </c>
      <c r="D34" s="83">
        <v>3872</v>
      </c>
      <c r="E34" s="83"/>
      <c r="F34" s="82"/>
      <c r="G34" s="83">
        <f>(D34*B34)+E34+F34</f>
        <v>968</v>
      </c>
      <c r="H34" s="10"/>
    </row>
    <row r="35" spans="1:8" s="55" customFormat="1" ht="21.75" customHeight="1">
      <c r="A35" s="98" t="s">
        <v>149</v>
      </c>
      <c r="B35" s="82">
        <v>0.5</v>
      </c>
      <c r="C35" s="82">
        <v>6</v>
      </c>
      <c r="D35" s="83">
        <v>3872</v>
      </c>
      <c r="E35" s="83">
        <f>B35*D35*10%</f>
        <v>193.60000000000002</v>
      </c>
      <c r="F35" s="82"/>
      <c r="G35" s="83">
        <f>(D35*B35)+E35+F35</f>
        <v>2129.6</v>
      </c>
      <c r="H35" s="10"/>
    </row>
    <row r="36" spans="1:8" s="55" customFormat="1" ht="21.75" customHeight="1">
      <c r="A36" s="99" t="s">
        <v>119</v>
      </c>
      <c r="B36" s="82">
        <v>0.25</v>
      </c>
      <c r="C36" s="82">
        <v>6</v>
      </c>
      <c r="D36" s="83">
        <v>3872</v>
      </c>
      <c r="E36" s="83">
        <f>(D36*B36)*15%</f>
        <v>145.2</v>
      </c>
      <c r="F36" s="83"/>
      <c r="G36" s="83">
        <f>B36*D36+E36+F36</f>
        <v>1113.2</v>
      </c>
      <c r="H36" s="10"/>
    </row>
    <row r="37" spans="1:8" s="55" customFormat="1" ht="34.5" customHeight="1">
      <c r="A37" s="80" t="s">
        <v>181</v>
      </c>
      <c r="B37" s="82">
        <v>0.25</v>
      </c>
      <c r="C37" s="82">
        <v>3</v>
      </c>
      <c r="D37" s="83">
        <v>3151</v>
      </c>
      <c r="E37" s="83">
        <f>B37*D37*0.1</f>
        <v>78.775</v>
      </c>
      <c r="F37" s="83"/>
      <c r="G37" s="83">
        <f>B37*D37+E37+F37</f>
        <v>866.525</v>
      </c>
      <c r="H37" s="10"/>
    </row>
    <row r="38" spans="1:7" ht="12.75" customHeight="1">
      <c r="A38" s="451" t="s">
        <v>37</v>
      </c>
      <c r="B38" s="453">
        <f>B15+B16+B17+B18+B19+B20+B21+B22+B23+B24+B25+B26+B27+B28+B29+B30+B31+B32+B33+B34+B35+B36+B37</f>
        <v>6.5</v>
      </c>
      <c r="C38" s="455"/>
      <c r="D38" s="459"/>
      <c r="E38" s="61">
        <f>E20+E27+E36</f>
        <v>500.625</v>
      </c>
      <c r="F38" s="453">
        <f>F15+F16+F17+F18+F19+F20+F21+F22+F23+F24+F25+F26+F27+F28+F29+F30+F31+F32+F33+F34+F35+F36+F37</f>
        <v>6046.7387499999995</v>
      </c>
      <c r="G38" s="463">
        <f>G15+G16+G17+G18+G19+G20+G21+G22+G23+G24+G25+G26+G27+G28+G29+G30+G31+G32+G33+G34+G35+G36+G37</f>
        <v>38052.23875</v>
      </c>
    </row>
    <row r="39" spans="1:7" ht="12.75" customHeight="1">
      <c r="A39" s="451"/>
      <c r="B39" s="453"/>
      <c r="C39" s="455"/>
      <c r="D39" s="459"/>
      <c r="E39" s="19" t="s">
        <v>165</v>
      </c>
      <c r="F39" s="461"/>
      <c r="G39" s="464"/>
    </row>
    <row r="40" spans="1:7" ht="13.5" customHeight="1">
      <c r="A40" s="451"/>
      <c r="B40" s="453"/>
      <c r="C40" s="455"/>
      <c r="D40" s="459"/>
      <c r="E40" s="19" t="s">
        <v>166</v>
      </c>
      <c r="F40" s="461"/>
      <c r="G40" s="464"/>
    </row>
    <row r="41" spans="1:7" ht="13.5" thickBot="1">
      <c r="A41" s="452"/>
      <c r="B41" s="454"/>
      <c r="C41" s="456"/>
      <c r="D41" s="460"/>
      <c r="E41" s="25" t="s">
        <v>164</v>
      </c>
      <c r="F41" s="462"/>
      <c r="G41" s="465"/>
    </row>
    <row r="45" spans="1:13" ht="18.75">
      <c r="A45" s="16" t="s">
        <v>129</v>
      </c>
      <c r="B45" s="276"/>
      <c r="C45" s="276"/>
      <c r="D45" s="112"/>
      <c r="E45" s="276"/>
      <c r="F45" s="16" t="s">
        <v>236</v>
      </c>
      <c r="G45" s="276"/>
      <c r="M45" s="5"/>
    </row>
    <row r="46" spans="1:7" ht="12.75">
      <c r="A46" s="276"/>
      <c r="B46" s="276"/>
      <c r="C46" s="276"/>
      <c r="D46" s="276"/>
      <c r="E46" s="276"/>
      <c r="F46" s="276"/>
      <c r="G46" s="276"/>
    </row>
    <row r="47" spans="1:7" ht="18">
      <c r="A47" s="16" t="s">
        <v>40</v>
      </c>
      <c r="B47" s="17"/>
      <c r="C47" s="17"/>
      <c r="D47" s="17"/>
      <c r="E47" s="17"/>
      <c r="F47" s="16" t="s">
        <v>244</v>
      </c>
      <c r="G47" s="277"/>
    </row>
    <row r="49" spans="1:6" ht="16.5" customHeight="1">
      <c r="A49" s="16" t="s">
        <v>251</v>
      </c>
      <c r="F49" s="16" t="s">
        <v>252</v>
      </c>
    </row>
  </sheetData>
  <sheetProtection/>
  <mergeCells count="12">
    <mergeCell ref="F38:F41"/>
    <mergeCell ref="G38:G41"/>
    <mergeCell ref="D12:D13"/>
    <mergeCell ref="G12:G13"/>
    <mergeCell ref="A10:G10"/>
    <mergeCell ref="A38:A41"/>
    <mergeCell ref="B38:B41"/>
    <mergeCell ref="C38:C41"/>
    <mergeCell ref="A12:A13"/>
    <mergeCell ref="B12:B13"/>
    <mergeCell ref="C12:C13"/>
    <mergeCell ref="D38:D41"/>
  </mergeCells>
  <printOptions/>
  <pageMargins left="0.75" right="0.75" top="0.35" bottom="0.14" header="0.5" footer="0.13"/>
  <pageSetup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</cp:lastModifiedBy>
  <cp:lastPrinted>2021-05-27T08:53:50Z</cp:lastPrinted>
  <dcterms:created xsi:type="dcterms:W3CDTF">1996-10-08T23:32:33Z</dcterms:created>
  <dcterms:modified xsi:type="dcterms:W3CDTF">2021-06-08T19:12:15Z</dcterms:modified>
  <cp:category/>
  <cp:version/>
  <cp:contentType/>
  <cp:contentStatus/>
</cp:coreProperties>
</file>